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9720" windowHeight="7320"/>
  </bookViews>
  <sheets>
    <sheet name="Приложение 1" sheetId="4" r:id="rId1"/>
    <sheet name="Лист1" sheetId="8" r:id="rId2"/>
    <sheet name="Приложение № 2" sheetId="5" r:id="rId3"/>
    <sheet name="Приложение №3" sheetId="7" r:id="rId4"/>
    <sheet name="Лист2"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'Приложение 1'!$A$8:$IU$8</definedName>
    <definedName name="_xlnm._FilterDatabase" localSheetId="3" hidden="1">'Приложение №3'!$B$13:$Q$45</definedName>
    <definedName name="_xlnm.Print_Area" localSheetId="0">'Приложение 1'!$A$1:$Y$1578</definedName>
    <definedName name="_xlnm.Print_Area" localSheetId="2">'Приложение № 2'!$A$1:$M$59</definedName>
    <definedName name="_xlnm.Print_Area" localSheetId="3">'Приложение №3'!$A$1:$V$69</definedName>
  </definedNames>
  <calcPr calcId="125725"/>
</workbook>
</file>

<file path=xl/calcChain.xml><?xml version="1.0" encoding="utf-8"?>
<calcChain xmlns="http://schemas.openxmlformats.org/spreadsheetml/2006/main">
  <c r="V1597" i="4"/>
  <c r="V1577"/>
  <c r="V810"/>
  <c r="Z810"/>
  <c r="V1589"/>
  <c r="AB810" l="1"/>
  <c r="AB811" s="1"/>
  <c r="V1596" l="1"/>
  <c r="U1575" l="1"/>
  <c r="U1574"/>
  <c r="U1573"/>
  <c r="U1526"/>
  <c r="U1525"/>
  <c r="U1524"/>
  <c r="U1523"/>
  <c r="U1518"/>
  <c r="U1517"/>
  <c r="V1509"/>
  <c r="U1509" s="1"/>
  <c r="U1508"/>
  <c r="V1456"/>
  <c r="U1456" s="1"/>
  <c r="U1455"/>
  <c r="V1454"/>
  <c r="U1454" s="1"/>
  <c r="U1453"/>
  <c r="V1452"/>
  <c r="U1452" s="1"/>
  <c r="U1451"/>
  <c r="V1450"/>
  <c r="U1450" s="1"/>
  <c r="U1449"/>
  <c r="V1448"/>
  <c r="U1448" s="1"/>
  <c r="U1447"/>
  <c r="V1446"/>
  <c r="U1446" s="1"/>
  <c r="U1445"/>
  <c r="V1444"/>
  <c r="U1444" s="1"/>
  <c r="U1443"/>
  <c r="V1442"/>
  <c r="U1442" s="1"/>
  <c r="U1441"/>
  <c r="U1440"/>
  <c r="U1439"/>
  <c r="V1438"/>
  <c r="U1438" s="1"/>
  <c r="U1437"/>
  <c r="V1436"/>
  <c r="U1436" s="1"/>
  <c r="U1435"/>
  <c r="V1434"/>
  <c r="U1434" s="1"/>
  <c r="U1433"/>
  <c r="V1432"/>
  <c r="U1432" s="1"/>
  <c r="U1431"/>
  <c r="V1430"/>
  <c r="U1430" s="1"/>
  <c r="U1429"/>
  <c r="V1428"/>
  <c r="U1428" s="1"/>
  <c r="U1427"/>
  <c r="V1426"/>
  <c r="U1426" s="1"/>
  <c r="U1425"/>
  <c r="V1424"/>
  <c r="U1424" s="1"/>
  <c r="U1423"/>
  <c r="V1418"/>
  <c r="U1418" s="1"/>
  <c r="U1417"/>
  <c r="V1416"/>
  <c r="U1416" s="1"/>
  <c r="U1415"/>
  <c r="V1414"/>
  <c r="U1414" s="1"/>
  <c r="U1413"/>
  <c r="V1412"/>
  <c r="U1412" s="1"/>
  <c r="U1411"/>
  <c r="V1410"/>
  <c r="U1410" s="1"/>
  <c r="U1409"/>
  <c r="V1408"/>
  <c r="U1408" s="1"/>
  <c r="U1407"/>
  <c r="V1406"/>
  <c r="U1406" s="1"/>
  <c r="U1405"/>
  <c r="V1404"/>
  <c r="U1404" s="1"/>
  <c r="U1403"/>
  <c r="V1402"/>
  <c r="U1402" s="1"/>
  <c r="U1401"/>
  <c r="U1400"/>
  <c r="U1399"/>
  <c r="U1398"/>
  <c r="U1397"/>
  <c r="V1396"/>
  <c r="U1396" s="1"/>
  <c r="U1395"/>
  <c r="V1394"/>
  <c r="U1394" s="1"/>
  <c r="U1393"/>
  <c r="V1392"/>
  <c r="U1392" s="1"/>
  <c r="U1391"/>
  <c r="V1390"/>
  <c r="U1390" s="1"/>
  <c r="U1389"/>
  <c r="V1383"/>
  <c r="U1383" s="1"/>
  <c r="U1382"/>
  <c r="V1381"/>
  <c r="U1381" s="1"/>
  <c r="U1380"/>
  <c r="V1379"/>
  <c r="U1379"/>
  <c r="U1378"/>
  <c r="V1377"/>
  <c r="U1377" s="1"/>
  <c r="U1376"/>
  <c r="V1375"/>
  <c r="U1375"/>
  <c r="U1374"/>
  <c r="V1373"/>
  <c r="U1373" s="1"/>
  <c r="U1372"/>
  <c r="V1371"/>
  <c r="U1371"/>
  <c r="U1370"/>
  <c r="V1369"/>
  <c r="U1369" s="1"/>
  <c r="U1368"/>
  <c r="U1367"/>
  <c r="U1366"/>
  <c r="V1365"/>
  <c r="U1365" s="1"/>
  <c r="U1364"/>
  <c r="V1363"/>
  <c r="U1363" s="1"/>
  <c r="U1362"/>
  <c r="V1361"/>
  <c r="U1361" s="1"/>
  <c r="U1360"/>
  <c r="V1359"/>
  <c r="U1359" s="1"/>
  <c r="U1358"/>
  <c r="V1356"/>
  <c r="U1356" s="1"/>
  <c r="U1355"/>
  <c r="V1354"/>
  <c r="U1354" s="1"/>
  <c r="U1353"/>
  <c r="V1352"/>
  <c r="U1352" s="1"/>
  <c r="U1351"/>
  <c r="U1333"/>
  <c r="U1332"/>
  <c r="V1314"/>
  <c r="U1314" s="1"/>
  <c r="U1313"/>
  <c r="U1307"/>
  <c r="U1306"/>
  <c r="V1187"/>
  <c r="U1187" s="1"/>
  <c r="U1186"/>
  <c r="V1151"/>
  <c r="U1151" s="1"/>
  <c r="Z1146"/>
  <c r="U1146"/>
  <c r="F1146"/>
  <c r="Z1145"/>
  <c r="U1145"/>
  <c r="F1145"/>
  <c r="V1063"/>
  <c r="U1063" s="1"/>
  <c r="U1062"/>
  <c r="V1058"/>
  <c r="U1058" s="1"/>
  <c r="U1057"/>
  <c r="V1056"/>
  <c r="U1056"/>
  <c r="U1055"/>
  <c r="V1054"/>
  <c r="U1054" s="1"/>
  <c r="U1053"/>
  <c r="V1052"/>
  <c r="U1052" s="1"/>
  <c r="U1051"/>
  <c r="V1050"/>
  <c r="U1050" s="1"/>
  <c r="U1049"/>
  <c r="V1048"/>
  <c r="U1048" s="1"/>
  <c r="U1047"/>
  <c r="V1046"/>
  <c r="U1046" s="1"/>
  <c r="U1045"/>
  <c r="V1044"/>
  <c r="U1044" s="1"/>
  <c r="U1043"/>
  <c r="V1042"/>
  <c r="U1042" s="1"/>
  <c r="U1041"/>
  <c r="V1040"/>
  <c r="U1040" s="1"/>
  <c r="U1039"/>
  <c r="V1038"/>
  <c r="U1038" s="1"/>
  <c r="U1037"/>
  <c r="V1036"/>
  <c r="U1036" s="1"/>
  <c r="U1035"/>
  <c r="V1034"/>
  <c r="U1034" s="1"/>
  <c r="U1033"/>
  <c r="V1032"/>
  <c r="U1032" s="1"/>
  <c r="U1031"/>
  <c r="V1030"/>
  <c r="U1030" s="1"/>
  <c r="U1029"/>
  <c r="V1028"/>
  <c r="U1028" s="1"/>
  <c r="U1027"/>
  <c r="V990"/>
  <c r="U990" s="1"/>
  <c r="V974"/>
  <c r="U974" s="1"/>
  <c r="U973"/>
  <c r="U963"/>
  <c r="U962"/>
  <c r="U952"/>
  <c r="U951"/>
  <c r="V876"/>
  <c r="U876" s="1"/>
  <c r="U875"/>
  <c r="V834"/>
  <c r="U834" s="1"/>
  <c r="U833"/>
  <c r="V832"/>
  <c r="U832" s="1"/>
  <c r="U831"/>
  <c r="U808"/>
  <c r="T808"/>
  <c r="U807"/>
  <c r="T807"/>
  <c r="U806"/>
  <c r="T806"/>
  <c r="U805"/>
  <c r="T805"/>
  <c r="U269"/>
  <c r="T269"/>
  <c r="U268"/>
  <c r="T268"/>
  <c r="U267"/>
  <c r="T267"/>
  <c r="U266"/>
  <c r="T266"/>
  <c r="U265"/>
  <c r="T265"/>
  <c r="U264"/>
  <c r="T264"/>
  <c r="U263"/>
  <c r="T263"/>
  <c r="U262"/>
  <c r="T262"/>
  <c r="U261"/>
  <c r="T261"/>
  <c r="U260"/>
  <c r="T260"/>
  <c r="U259"/>
  <c r="T259"/>
  <c r="U258"/>
  <c r="T258"/>
  <c r="V248"/>
  <c r="U248" s="1"/>
  <c r="T248"/>
  <c r="U247"/>
  <c r="T247"/>
  <c r="U59"/>
  <c r="T59"/>
  <c r="U58"/>
  <c r="T58"/>
  <c r="U57"/>
  <c r="T57"/>
  <c r="U56"/>
  <c r="T56"/>
  <c r="U55"/>
  <c r="T55"/>
  <c r="U54"/>
  <c r="T54"/>
  <c r="U53"/>
  <c r="T53"/>
  <c r="U52"/>
  <c r="T52"/>
  <c r="U51"/>
  <c r="T51"/>
  <c r="U50"/>
  <c r="T50"/>
  <c r="U49"/>
  <c r="T49"/>
  <c r="U48"/>
  <c r="T48"/>
  <c r="U47"/>
  <c r="T47"/>
  <c r="U46"/>
  <c r="T46"/>
  <c r="U45"/>
  <c r="T45"/>
  <c r="U44"/>
  <c r="T44"/>
  <c r="U38"/>
  <c r="T38"/>
  <c r="U37"/>
  <c r="T37"/>
  <c r="U33"/>
  <c r="U32"/>
  <c r="U23"/>
  <c r="T23"/>
  <c r="U22"/>
  <c r="T22"/>
  <c r="U21"/>
  <c r="T21"/>
  <c r="U20"/>
  <c r="T20"/>
  <c r="U19"/>
  <c r="T19"/>
  <c r="U18"/>
  <c r="T18"/>
  <c r="U17"/>
  <c r="T17"/>
  <c r="U16"/>
  <c r="T16"/>
  <c r="U15"/>
  <c r="T15"/>
  <c r="U14"/>
  <c r="T14"/>
  <c r="U13"/>
  <c r="T13"/>
  <c r="U12"/>
  <c r="T12"/>
  <c r="U11"/>
  <c r="T11"/>
  <c r="U10"/>
  <c r="T10"/>
  <c r="U1511" l="1"/>
  <c r="U86"/>
  <c r="T86"/>
  <c r="U85"/>
  <c r="T85"/>
  <c r="U84"/>
  <c r="T84"/>
  <c r="U83"/>
  <c r="T83"/>
  <c r="U82"/>
  <c r="U1572" l="1"/>
  <c r="U1571"/>
  <c r="U1570"/>
  <c r="U1569"/>
  <c r="U1568"/>
  <c r="U1567"/>
  <c r="U1566"/>
  <c r="U1565"/>
  <c r="U1564"/>
  <c r="U1563"/>
  <c r="U1562"/>
  <c r="U1561"/>
  <c r="U1560"/>
  <c r="U1559"/>
  <c r="U1558"/>
  <c r="U1557"/>
  <c r="U1556"/>
  <c r="U1555"/>
  <c r="U1554"/>
  <c r="U1553"/>
  <c r="U1552"/>
  <c r="U1551"/>
  <c r="U1550"/>
  <c r="U1549"/>
  <c r="U1548"/>
  <c r="U1547"/>
  <c r="U1546"/>
  <c r="U1545"/>
  <c r="U1544"/>
  <c r="U1543"/>
  <c r="U1542"/>
  <c r="U1541"/>
  <c r="U1540"/>
  <c r="U1539"/>
  <c r="U1538"/>
  <c r="U1537"/>
  <c r="V1522"/>
  <c r="U1522" s="1"/>
  <c r="U1521"/>
  <c r="U1357"/>
  <c r="V1310"/>
  <c r="U1310" s="1"/>
  <c r="U1309"/>
  <c r="V1095"/>
  <c r="U1095" s="1"/>
  <c r="U1094"/>
  <c r="V1005"/>
  <c r="U1005" s="1"/>
  <c r="U1004"/>
  <c r="V1003"/>
  <c r="U1003" s="1"/>
  <c r="U969"/>
  <c r="V956"/>
  <c r="U956" s="1"/>
  <c r="V843"/>
  <c r="U843" s="1"/>
  <c r="U842"/>
  <c r="V830"/>
  <c r="U830" s="1"/>
  <c r="U829"/>
  <c r="V828"/>
  <c r="U828" s="1"/>
  <c r="U827"/>
  <c r="U824"/>
  <c r="U823"/>
  <c r="V818"/>
  <c r="U818" s="1"/>
  <c r="U817"/>
  <c r="U804"/>
  <c r="T804"/>
  <c r="U803"/>
  <c r="T803"/>
  <c r="U802"/>
  <c r="T802"/>
  <c r="U801"/>
  <c r="T801"/>
  <c r="V275"/>
  <c r="U275" s="1"/>
  <c r="U274"/>
  <c r="T274"/>
  <c r="T276"/>
  <c r="U276"/>
  <c r="T277"/>
  <c r="U277"/>
  <c r="T278"/>
  <c r="U278"/>
  <c r="T279"/>
  <c r="U279"/>
  <c r="T280"/>
  <c r="U280"/>
  <c r="T281"/>
  <c r="U281"/>
  <c r="T282"/>
  <c r="U282"/>
  <c r="T283"/>
  <c r="U283"/>
  <c r="T284"/>
  <c r="U284"/>
  <c r="T285"/>
  <c r="U285"/>
  <c r="T286"/>
  <c r="U286"/>
  <c r="V114"/>
  <c r="U114" s="1"/>
  <c r="V113"/>
  <c r="U113" s="1"/>
  <c r="T113"/>
  <c r="U112"/>
  <c r="T112"/>
  <c r="V111"/>
  <c r="U111" s="1"/>
  <c r="U110"/>
  <c r="T110"/>
  <c r="V109"/>
  <c r="U109" s="1"/>
  <c r="U108"/>
  <c r="T108"/>
  <c r="V107"/>
  <c r="U107" s="1"/>
  <c r="U106"/>
  <c r="T106"/>
  <c r="V105"/>
  <c r="U105" s="1"/>
  <c r="T105"/>
  <c r="U104"/>
  <c r="T104"/>
  <c r="T115"/>
  <c r="U115"/>
  <c r="U116"/>
  <c r="T117"/>
  <c r="U117"/>
  <c r="T118"/>
  <c r="U118"/>
  <c r="U119"/>
  <c r="U81"/>
  <c r="U80"/>
  <c r="U79"/>
  <c r="U78"/>
  <c r="U77"/>
  <c r="U76"/>
  <c r="U75"/>
  <c r="U74"/>
  <c r="U73"/>
  <c r="U72"/>
  <c r="U71"/>
  <c r="U70"/>
  <c r="U69"/>
  <c r="U68"/>
  <c r="U67"/>
  <c r="U66"/>
  <c r="U64"/>
  <c r="V63"/>
  <c r="U63" s="1"/>
  <c r="T275" l="1"/>
  <c r="T111"/>
  <c r="T109"/>
  <c r="T107"/>
  <c r="T114"/>
  <c r="Z800" l="1"/>
  <c r="U1272" l="1"/>
  <c r="U1271"/>
  <c r="U1162"/>
  <c r="U1161"/>
  <c r="V1124"/>
  <c r="U1124" s="1"/>
  <c r="U1123"/>
  <c r="U967"/>
  <c r="U966"/>
  <c r="U800"/>
  <c r="T800"/>
  <c r="U799"/>
  <c r="T799"/>
  <c r="U798"/>
  <c r="T798"/>
  <c r="U797"/>
  <c r="T797"/>
  <c r="U796"/>
  <c r="T796"/>
  <c r="U795"/>
  <c r="T795"/>
  <c r="U794"/>
  <c r="T794"/>
  <c r="U793"/>
  <c r="T793"/>
  <c r="U792"/>
  <c r="T792"/>
  <c r="U791"/>
  <c r="T791"/>
  <c r="U790"/>
  <c r="T790"/>
  <c r="U789"/>
  <c r="T789"/>
  <c r="U788"/>
  <c r="T788"/>
  <c r="U787"/>
  <c r="T787"/>
  <c r="U786"/>
  <c r="T786"/>
  <c r="U785"/>
  <c r="T785"/>
  <c r="U257"/>
  <c r="T257"/>
  <c r="U256"/>
  <c r="T256"/>
  <c r="U255"/>
  <c r="T255"/>
  <c r="U254"/>
  <c r="T254"/>
  <c r="U36"/>
  <c r="T36"/>
  <c r="U35"/>
  <c r="T35"/>
  <c r="V30"/>
  <c r="U30" s="1"/>
  <c r="U29"/>
  <c r="T29"/>
  <c r="V27"/>
  <c r="U27" s="1"/>
  <c r="U26"/>
  <c r="T26"/>
  <c r="T27" l="1"/>
  <c r="T30"/>
  <c r="V1500"/>
  <c r="Z1536"/>
  <c r="Z1535"/>
  <c r="U1535"/>
  <c r="Z1534"/>
  <c r="U1534"/>
  <c r="Z1533"/>
  <c r="U1533"/>
  <c r="Z1532"/>
  <c r="U1532"/>
  <c r="Z1531"/>
  <c r="U1499"/>
  <c r="V1388"/>
  <c r="U1388" s="1"/>
  <c r="U1387"/>
  <c r="V1219"/>
  <c r="U1219" s="1"/>
  <c r="U1218"/>
  <c r="V1078"/>
  <c r="U1078" s="1"/>
  <c r="U1077"/>
  <c r="V838"/>
  <c r="U838" s="1"/>
  <c r="U837"/>
  <c r="U287"/>
  <c r="T287"/>
  <c r="U1500" l="1"/>
  <c r="U1530" l="1"/>
  <c r="U1529"/>
  <c r="U1528"/>
  <c r="U1527"/>
  <c r="U1520"/>
  <c r="U1519"/>
  <c r="U1516"/>
  <c r="U1515"/>
  <c r="V1498"/>
  <c r="U1497"/>
  <c r="U1478"/>
  <c r="U1477"/>
  <c r="U1476"/>
  <c r="U1475"/>
  <c r="U1474"/>
  <c r="U1473"/>
  <c r="U1472"/>
  <c r="U1471"/>
  <c r="U1470"/>
  <c r="U1469"/>
  <c r="U1468"/>
  <c r="U1467"/>
  <c r="U1466"/>
  <c r="U1465"/>
  <c r="U1464"/>
  <c r="U1463"/>
  <c r="U1462"/>
  <c r="U1461"/>
  <c r="V1460"/>
  <c r="V1459"/>
  <c r="U1458"/>
  <c r="V1420"/>
  <c r="U1420" s="1"/>
  <c r="U1419"/>
  <c r="U1386"/>
  <c r="V1385"/>
  <c r="U1385" s="1"/>
  <c r="U1384"/>
  <c r="Z1144"/>
  <c r="U1144"/>
  <c r="F1144"/>
  <c r="U1143"/>
  <c r="U1142"/>
  <c r="V1130"/>
  <c r="U1129"/>
  <c r="U1122"/>
  <c r="V1125"/>
  <c r="U1125" s="1"/>
  <c r="V1126"/>
  <c r="U1126" s="1"/>
  <c r="U1119"/>
  <c r="U1118"/>
  <c r="V1116"/>
  <c r="U1115"/>
  <c r="V1114"/>
  <c r="U1113"/>
  <c r="V1112"/>
  <c r="U1111"/>
  <c r="V1106"/>
  <c r="U1105"/>
  <c r="U1107"/>
  <c r="V1099"/>
  <c r="U1098"/>
  <c r="V1087"/>
  <c r="U1087" s="1"/>
  <c r="U1086"/>
  <c r="U1076"/>
  <c r="U968"/>
  <c r="V953"/>
  <c r="U784"/>
  <c r="T784"/>
  <c r="U782"/>
  <c r="U781"/>
  <c r="U764"/>
  <c r="T764"/>
  <c r="U763"/>
  <c r="T763"/>
  <c r="U762"/>
  <c r="T762"/>
  <c r="U761"/>
  <c r="T761"/>
  <c r="U745"/>
  <c r="U744"/>
  <c r="U743"/>
  <c r="U742"/>
  <c r="U741"/>
  <c r="U740"/>
  <c r="U739"/>
  <c r="U738"/>
  <c r="U737"/>
  <c r="U736"/>
  <c r="U735"/>
  <c r="U734"/>
  <c r="U733"/>
  <c r="U732"/>
  <c r="U731"/>
  <c r="U730"/>
  <c r="U61"/>
  <c r="U43"/>
  <c r="T43"/>
  <c r="U42"/>
  <c r="T42"/>
  <c r="U28"/>
  <c r="T28"/>
  <c r="U25"/>
  <c r="T25"/>
  <c r="U783"/>
  <c r="T783"/>
  <c r="U12" i="9"/>
  <c r="T12"/>
  <c r="U11"/>
  <c r="U10"/>
  <c r="T10"/>
  <c r="U9"/>
  <c r="U1106" i="4" l="1"/>
  <c r="U1130"/>
  <c r="U1114"/>
  <c r="U1460"/>
  <c r="U1498"/>
  <c r="U1459"/>
  <c r="U1112"/>
  <c r="U1116"/>
  <c r="U953"/>
  <c r="U1099"/>
  <c r="U34"/>
  <c r="U31"/>
  <c r="U1149"/>
  <c r="U1150"/>
  <c r="U613"/>
  <c r="U607"/>
  <c r="U604"/>
  <c r="U606"/>
  <c r="U602"/>
  <c r="U599"/>
  <c r="U780" l="1"/>
  <c r="U1514"/>
  <c r="U1513"/>
  <c r="U1512"/>
  <c r="V1319"/>
  <c r="V862"/>
  <c r="V861"/>
  <c r="V882"/>
  <c r="V881"/>
  <c r="V1315" l="1"/>
  <c r="V1312"/>
  <c r="U1311"/>
  <c r="V1308"/>
  <c r="U1316"/>
  <c r="V1269"/>
  <c r="V1214"/>
  <c r="V1213"/>
  <c r="V1212"/>
  <c r="V1211"/>
  <c r="V1210"/>
  <c r="V1176"/>
  <c r="V1175"/>
  <c r="V1155"/>
  <c r="U1121"/>
  <c r="U1120"/>
  <c r="V1110"/>
  <c r="V1109"/>
  <c r="U1104"/>
  <c r="U931"/>
  <c r="V930"/>
  <c r="V929"/>
  <c r="U928"/>
  <c r="V927"/>
  <c r="U926"/>
  <c r="V925"/>
  <c r="U864"/>
  <c r="U863"/>
  <c r="U862"/>
  <c r="U861"/>
  <c r="U826"/>
  <c r="V822"/>
  <c r="U821"/>
  <c r="V825"/>
  <c r="U703"/>
  <c r="T703"/>
  <c r="U345"/>
  <c r="T345"/>
  <c r="U344"/>
  <c r="T344"/>
  <c r="U343"/>
  <c r="T343"/>
  <c r="U342"/>
  <c r="T342"/>
  <c r="U341"/>
  <c r="T341"/>
  <c r="U340"/>
  <c r="T340"/>
  <c r="U339"/>
  <c r="T339"/>
  <c r="U338"/>
  <c r="T338"/>
  <c r="U337"/>
  <c r="T337"/>
  <c r="U336"/>
  <c r="T336"/>
  <c r="U335"/>
  <c r="T335"/>
  <c r="U334"/>
  <c r="T334"/>
  <c r="U333"/>
  <c r="T333"/>
  <c r="U332"/>
  <c r="T332"/>
  <c r="U331"/>
  <c r="T331"/>
  <c r="U330"/>
  <c r="T330"/>
  <c r="U329"/>
  <c r="T329"/>
  <c r="U328"/>
  <c r="T328"/>
  <c r="U327"/>
  <c r="T327"/>
  <c r="U326"/>
  <c r="T326"/>
  <c r="U325"/>
  <c r="T325"/>
  <c r="U324"/>
  <c r="T324"/>
  <c r="U323"/>
  <c r="T323"/>
  <c r="U322"/>
  <c r="T322"/>
  <c r="U321"/>
  <c r="T321"/>
  <c r="U320"/>
  <c r="T320"/>
  <c r="U319"/>
  <c r="T319"/>
  <c r="U318"/>
  <c r="T318"/>
  <c r="U317"/>
  <c r="T317"/>
  <c r="U316"/>
  <c r="T316"/>
  <c r="U315"/>
  <c r="T315"/>
  <c r="U314"/>
  <c r="T314"/>
  <c r="U313"/>
  <c r="T313"/>
  <c r="U312"/>
  <c r="T312"/>
  <c r="U311"/>
  <c r="T311"/>
  <c r="U310"/>
  <c r="T310"/>
  <c r="U309"/>
  <c r="T309"/>
  <c r="U308"/>
  <c r="T308"/>
  <c r="U307"/>
  <c r="T307"/>
  <c r="U290"/>
  <c r="S290" s="1"/>
  <c r="V289"/>
  <c r="U253"/>
  <c r="T253"/>
  <c r="U252"/>
  <c r="T252"/>
  <c r="U251"/>
  <c r="T251"/>
  <c r="U250"/>
  <c r="T250"/>
  <c r="U249"/>
  <c r="T249"/>
  <c r="U246"/>
  <c r="T246"/>
  <c r="U245"/>
  <c r="T245"/>
  <c r="U244"/>
  <c r="T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24"/>
  <c r="T24"/>
  <c r="U925" l="1"/>
  <c r="U927"/>
  <c r="U929"/>
  <c r="U1109"/>
  <c r="U1175"/>
  <c r="U1210"/>
  <c r="U1212"/>
  <c r="U1214"/>
  <c r="U1308"/>
  <c r="U825"/>
  <c r="U822"/>
  <c r="U930"/>
  <c r="U1110"/>
  <c r="U1155"/>
  <c r="U1176"/>
  <c r="U1211"/>
  <c r="U1213"/>
  <c r="U1269"/>
  <c r="U289"/>
  <c r="S289" s="1"/>
  <c r="V1457"/>
  <c r="U841"/>
  <c r="C21" i="8" l="1"/>
  <c r="U1080" i="4"/>
  <c r="U1504"/>
  <c r="C24" i="8"/>
  <c r="C20"/>
  <c r="C19"/>
  <c r="C18"/>
  <c r="C17"/>
  <c r="C16"/>
  <c r="C14"/>
  <c r="C13"/>
  <c r="C12"/>
  <c r="C11"/>
  <c r="C10"/>
  <c r="C9"/>
  <c r="C8"/>
  <c r="C7"/>
  <c r="I6"/>
  <c r="C6"/>
  <c r="C5"/>
  <c r="I4"/>
  <c r="C4"/>
  <c r="C22" s="1"/>
  <c r="C25" s="1"/>
  <c r="E16" l="1"/>
  <c r="I7"/>
  <c r="S298" i="4"/>
  <c r="T298" s="1"/>
  <c r="U1510" l="1"/>
  <c r="U1484"/>
  <c r="V1108"/>
  <c r="U369"/>
  <c r="T369"/>
  <c r="U368"/>
  <c r="T368"/>
  <c r="U367"/>
  <c r="T367" s="1"/>
  <c r="U1489"/>
  <c r="V1342"/>
  <c r="U1324"/>
  <c r="U1298"/>
  <c r="U1282"/>
  <c r="U1260"/>
  <c r="V1244"/>
  <c r="V1228"/>
  <c r="V1202"/>
  <c r="U1185"/>
  <c r="U1166"/>
  <c r="V1134"/>
  <c r="U1089"/>
  <c r="V1072"/>
  <c r="U1019"/>
  <c r="V995"/>
  <c r="V979"/>
  <c r="U941"/>
  <c r="U898"/>
  <c r="U897"/>
  <c r="U896"/>
  <c r="U895"/>
  <c r="U853"/>
  <c r="U773"/>
  <c r="V750"/>
  <c r="V722"/>
  <c r="V711"/>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V299"/>
  <c r="T288"/>
  <c r="U288"/>
  <c r="V293"/>
  <c r="V294"/>
  <c r="V295"/>
  <c r="V296"/>
  <c r="V297"/>
  <c r="U298"/>
  <c r="V300"/>
  <c r="V301"/>
  <c r="V302"/>
  <c r="V303"/>
  <c r="V304"/>
  <c r="V305"/>
  <c r="V306"/>
  <c r="U131"/>
  <c r="T131"/>
  <c r="U130"/>
  <c r="T130"/>
  <c r="U129"/>
  <c r="T129"/>
  <c r="U128"/>
  <c r="U767"/>
  <c r="T767"/>
  <c r="V756"/>
  <c r="V746"/>
  <c r="U176"/>
  <c r="T176"/>
  <c r="U175"/>
  <c r="T175"/>
  <c r="U174"/>
  <c r="T174"/>
  <c r="U173"/>
  <c r="T173"/>
  <c r="U1318"/>
  <c r="V1127"/>
  <c r="V720"/>
  <c r="V707"/>
  <c r="V820"/>
  <c r="V819"/>
  <c r="U777"/>
  <c r="V1138"/>
  <c r="U1493"/>
  <c r="U366"/>
  <c r="T366"/>
  <c r="U365"/>
  <c r="T365"/>
  <c r="U364"/>
  <c r="T364"/>
  <c r="U363"/>
  <c r="T363"/>
  <c r="U362"/>
  <c r="T362"/>
  <c r="U361"/>
  <c r="T361"/>
  <c r="U360"/>
  <c r="T360"/>
  <c r="U359"/>
  <c r="T359"/>
  <c r="U358"/>
  <c r="T358"/>
  <c r="U357"/>
  <c r="T357"/>
  <c r="U356"/>
  <c r="T356"/>
  <c r="U355"/>
  <c r="T355"/>
  <c r="U354"/>
  <c r="T354"/>
  <c r="U353"/>
  <c r="T353"/>
  <c r="U352"/>
  <c r="T352"/>
  <c r="U351"/>
  <c r="T351"/>
  <c r="U350"/>
  <c r="T350"/>
  <c r="U349"/>
  <c r="T349"/>
  <c r="U348"/>
  <c r="T348"/>
  <c r="U347"/>
  <c r="T347"/>
  <c r="U346"/>
  <c r="T346" s="1"/>
  <c r="U1157"/>
  <c r="V1156"/>
  <c r="V836"/>
  <c r="V835"/>
  <c r="V814"/>
  <c r="V813"/>
  <c r="V1217"/>
  <c r="V1216"/>
  <c r="V1215"/>
  <c r="V839"/>
  <c r="U40"/>
  <c r="U39"/>
  <c r="U1491"/>
  <c r="V1344"/>
  <c r="U1284"/>
  <c r="U1262"/>
  <c r="U1021"/>
  <c r="V997"/>
  <c r="V981"/>
  <c r="U775"/>
  <c r="V757"/>
  <c r="V724"/>
  <c r="V713"/>
  <c r="U1278"/>
  <c r="U1256"/>
  <c r="V1240"/>
  <c r="V1128"/>
  <c r="U1014"/>
  <c r="U848"/>
  <c r="U769"/>
  <c r="V1341"/>
  <c r="U1281"/>
  <c r="U1259"/>
  <c r="V1243"/>
  <c r="U1201"/>
  <c r="U1088"/>
  <c r="U994"/>
  <c r="U978"/>
  <c r="U940"/>
  <c r="U893"/>
  <c r="U772"/>
  <c r="V710"/>
  <c r="U1494"/>
  <c r="U1171"/>
  <c r="V1139"/>
  <c r="U946"/>
  <c r="U778"/>
  <c r="V758"/>
  <c r="V753"/>
  <c r="V727"/>
  <c r="V716"/>
  <c r="U122"/>
  <c r="T122"/>
  <c r="U121"/>
  <c r="T121"/>
  <c r="U120"/>
  <c r="U779"/>
  <c r="U150"/>
  <c r="T150"/>
  <c r="U149"/>
  <c r="T149"/>
  <c r="U148"/>
  <c r="T148"/>
  <c r="U147"/>
  <c r="T147"/>
  <c r="U146"/>
  <c r="T146"/>
  <c r="U145"/>
  <c r="T145"/>
  <c r="U144"/>
  <c r="T144"/>
  <c r="U143"/>
  <c r="T143"/>
  <c r="U142"/>
  <c r="T142"/>
  <c r="U141"/>
  <c r="T141"/>
  <c r="U140"/>
  <c r="T140"/>
  <c r="U139"/>
  <c r="T139"/>
  <c r="U138"/>
  <c r="T138"/>
  <c r="T135"/>
  <c r="U135"/>
  <c r="U1492"/>
  <c r="V1137"/>
  <c r="U1092"/>
  <c r="U776"/>
  <c r="V1135"/>
  <c r="U1090"/>
  <c r="U774"/>
  <c r="U552"/>
  <c r="T552"/>
  <c r="U127"/>
  <c r="T127"/>
  <c r="U126"/>
  <c r="T126"/>
  <c r="U125"/>
  <c r="T125"/>
  <c r="U124"/>
  <c r="T124"/>
  <c r="U123"/>
  <c r="T123"/>
  <c r="V1226"/>
  <c r="U939"/>
  <c r="V749"/>
  <c r="U103"/>
  <c r="T103"/>
  <c r="U102"/>
  <c r="T102"/>
  <c r="U101"/>
  <c r="T101"/>
  <c r="U99"/>
  <c r="U98"/>
  <c r="U97"/>
  <c r="U96"/>
  <c r="U95"/>
  <c r="U94"/>
  <c r="T94"/>
  <c r="U93"/>
  <c r="T93"/>
  <c r="V1422"/>
  <c r="U1009"/>
  <c r="V959"/>
  <c r="V958"/>
  <c r="U957"/>
  <c r="V955"/>
  <c r="V954"/>
  <c r="U1486"/>
  <c r="V1339"/>
  <c r="V1131"/>
  <c r="U770"/>
  <c r="V748"/>
  <c r="V708"/>
  <c r="U453"/>
  <c r="T453"/>
  <c r="U92"/>
  <c r="T92"/>
  <c r="U90"/>
  <c r="T90"/>
  <c r="U89"/>
  <c r="T89"/>
  <c r="U88"/>
  <c r="T88"/>
  <c r="U87"/>
  <c r="T87"/>
  <c r="U1101"/>
  <c r="U1100"/>
  <c r="U1097"/>
  <c r="U1096"/>
  <c r="U1091"/>
  <c r="U1085"/>
  <c r="U1084"/>
  <c r="U1083"/>
  <c r="U1082"/>
  <c r="U1081"/>
  <c r="U1496"/>
  <c r="U1495"/>
  <c r="U1490"/>
  <c r="U1488"/>
  <c r="U1487"/>
  <c r="U1485"/>
  <c r="U1483"/>
  <c r="U1482"/>
  <c r="U1481"/>
  <c r="U948"/>
  <c r="U947"/>
  <c r="U945"/>
  <c r="U944"/>
  <c r="U943"/>
  <c r="U942"/>
  <c r="U938"/>
  <c r="U937"/>
  <c r="U936"/>
  <c r="U935"/>
  <c r="U934"/>
  <c r="U933"/>
  <c r="V1132"/>
  <c r="V1133"/>
  <c r="V1136"/>
  <c r="V1140"/>
  <c r="V1141"/>
  <c r="U771"/>
  <c r="U768"/>
  <c r="U766"/>
  <c r="T766"/>
  <c r="U765"/>
  <c r="T765"/>
  <c r="U1507"/>
  <c r="U840"/>
  <c r="U845"/>
  <c r="U846"/>
  <c r="U847"/>
  <c r="U849"/>
  <c r="U850"/>
  <c r="U851"/>
  <c r="U852"/>
  <c r="U854"/>
  <c r="U855"/>
  <c r="U856"/>
  <c r="U857"/>
  <c r="U858"/>
  <c r="U859"/>
  <c r="U860"/>
  <c r="U869"/>
  <c r="U870"/>
  <c r="U871"/>
  <c r="U872"/>
  <c r="U873"/>
  <c r="U874"/>
  <c r="U877"/>
  <c r="U878"/>
  <c r="U879"/>
  <c r="U880"/>
  <c r="U881"/>
  <c r="U882"/>
  <c r="U883"/>
  <c r="U884"/>
  <c r="U885"/>
  <c r="U886"/>
  <c r="U887"/>
  <c r="U888"/>
  <c r="U889"/>
  <c r="U890"/>
  <c r="U891"/>
  <c r="U892"/>
  <c r="U894"/>
  <c r="U899"/>
  <c r="U900"/>
  <c r="U901"/>
  <c r="U902"/>
  <c r="U903"/>
  <c r="U904"/>
  <c r="U905"/>
  <c r="U906"/>
  <c r="U907"/>
  <c r="U908"/>
  <c r="U909"/>
  <c r="U910"/>
  <c r="U911"/>
  <c r="U912"/>
  <c r="U913"/>
  <c r="U914"/>
  <c r="U915"/>
  <c r="U916"/>
  <c r="U917"/>
  <c r="U918"/>
  <c r="U919"/>
  <c r="U920"/>
  <c r="U921"/>
  <c r="U922"/>
  <c r="U923"/>
  <c r="U924"/>
  <c r="U949"/>
  <c r="U950"/>
  <c r="U960"/>
  <c r="U961"/>
  <c r="U964"/>
  <c r="U1006"/>
  <c r="U1007"/>
  <c r="U1008"/>
  <c r="U1059"/>
  <c r="U1060"/>
  <c r="U1061"/>
  <c r="U1064"/>
  <c r="U1065"/>
  <c r="U1066"/>
  <c r="U1067"/>
  <c r="U1068"/>
  <c r="U1069"/>
  <c r="U1102"/>
  <c r="U1103"/>
  <c r="U1174"/>
  <c r="U1178"/>
  <c r="U1179"/>
  <c r="U1182"/>
  <c r="U1183"/>
  <c r="U1184"/>
  <c r="U1188"/>
  <c r="U1189"/>
  <c r="U1190"/>
  <c r="U1191"/>
  <c r="U1192"/>
  <c r="U1193"/>
  <c r="U1252"/>
  <c r="U1253"/>
  <c r="U1254"/>
  <c r="U1255"/>
  <c r="U1257"/>
  <c r="U1258"/>
  <c r="U1261"/>
  <c r="U1263"/>
  <c r="U1264"/>
  <c r="U1265"/>
  <c r="U1266"/>
  <c r="U1267"/>
  <c r="U1268"/>
  <c r="U1274"/>
  <c r="U1275"/>
  <c r="U1276"/>
  <c r="U1277"/>
  <c r="U1279"/>
  <c r="U1280"/>
  <c r="U1283"/>
  <c r="U1285"/>
  <c r="U1286"/>
  <c r="U1287"/>
  <c r="U1288"/>
  <c r="U1289"/>
  <c r="U1290"/>
  <c r="U1291"/>
  <c r="U1292"/>
  <c r="U1293"/>
  <c r="U1294"/>
  <c r="U1295"/>
  <c r="U1296"/>
  <c r="U1297"/>
  <c r="U1299"/>
  <c r="U1300"/>
  <c r="U1301"/>
  <c r="U1302"/>
  <c r="U1303"/>
  <c r="U1304"/>
  <c r="U1305"/>
  <c r="U1317"/>
  <c r="U1319"/>
  <c r="U1320"/>
  <c r="U1321"/>
  <c r="U1322"/>
  <c r="U1323"/>
  <c r="U1325"/>
  <c r="U1326"/>
  <c r="U1327"/>
  <c r="U1328"/>
  <c r="U1329"/>
  <c r="U1330"/>
  <c r="U1331"/>
  <c r="U1350"/>
  <c r="U1501"/>
  <c r="U1502"/>
  <c r="U1503"/>
  <c r="U1505"/>
  <c r="U41"/>
  <c r="U91"/>
  <c r="U100"/>
  <c r="U132"/>
  <c r="U133"/>
  <c r="U134"/>
  <c r="U136"/>
  <c r="U137"/>
  <c r="U151"/>
  <c r="U152"/>
  <c r="U153"/>
  <c r="U154"/>
  <c r="U155"/>
  <c r="U156"/>
  <c r="U157"/>
  <c r="U158"/>
  <c r="U159"/>
  <c r="U160"/>
  <c r="U161"/>
  <c r="U162"/>
  <c r="U163"/>
  <c r="U164"/>
  <c r="U165"/>
  <c r="U166"/>
  <c r="U167"/>
  <c r="U168"/>
  <c r="U169"/>
  <c r="U170"/>
  <c r="U171"/>
  <c r="U172"/>
  <c r="U177"/>
  <c r="U270"/>
  <c r="U271"/>
  <c r="U272"/>
  <c r="U273"/>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492"/>
  <c r="U493"/>
  <c r="U494"/>
  <c r="U495"/>
  <c r="U496"/>
  <c r="U497"/>
  <c r="U498"/>
  <c r="U499"/>
  <c r="U500"/>
  <c r="U501"/>
  <c r="U502"/>
  <c r="U503"/>
  <c r="U504"/>
  <c r="U505"/>
  <c r="U506"/>
  <c r="U507"/>
  <c r="U508"/>
  <c r="U509"/>
  <c r="U510"/>
  <c r="U511"/>
  <c r="U512"/>
  <c r="U513"/>
  <c r="U535"/>
  <c r="U536"/>
  <c r="U537"/>
  <c r="U538"/>
  <c r="U539"/>
  <c r="U540"/>
  <c r="U541"/>
  <c r="U542"/>
  <c r="U543"/>
  <c r="U544"/>
  <c r="U545"/>
  <c r="U546"/>
  <c r="U547"/>
  <c r="U548"/>
  <c r="U549"/>
  <c r="U550"/>
  <c r="U551"/>
  <c r="U553"/>
  <c r="U554"/>
  <c r="U555"/>
  <c r="U556"/>
  <c r="U557"/>
  <c r="U558"/>
  <c r="U559"/>
  <c r="U560"/>
  <c r="U561"/>
  <c r="U562"/>
  <c r="U563"/>
  <c r="U564"/>
  <c r="U565"/>
  <c r="U566"/>
  <c r="U567"/>
  <c r="U568"/>
  <c r="U569"/>
  <c r="U570"/>
  <c r="U571"/>
  <c r="U572"/>
  <c r="U573"/>
  <c r="U574"/>
  <c r="U575"/>
  <c r="U576"/>
  <c r="U577"/>
  <c r="U578"/>
  <c r="U579"/>
  <c r="U580"/>
  <c r="U581"/>
  <c r="U582"/>
  <c r="U583"/>
  <c r="U584"/>
  <c r="U585"/>
  <c r="U586"/>
  <c r="U587"/>
  <c r="U588"/>
  <c r="U589"/>
  <c r="U590"/>
  <c r="U591"/>
  <c r="U592"/>
  <c r="U593"/>
  <c r="U594"/>
  <c r="U595"/>
  <c r="U596"/>
  <c r="U597"/>
  <c r="U600"/>
  <c r="U608"/>
  <c r="U610"/>
  <c r="U612"/>
  <c r="U614"/>
  <c r="U616"/>
  <c r="U618"/>
  <c r="U620"/>
  <c r="U622"/>
  <c r="U624"/>
  <c r="U626"/>
  <c r="U628"/>
  <c r="U630"/>
  <c r="U632"/>
  <c r="U634"/>
  <c r="U636"/>
  <c r="U638"/>
  <c r="U639"/>
  <c r="U640"/>
  <c r="U641"/>
  <c r="U642"/>
  <c r="U643"/>
  <c r="U644"/>
  <c r="U645"/>
  <c r="U646"/>
  <c r="U647"/>
  <c r="U648"/>
  <c r="U649"/>
  <c r="U650"/>
  <c r="U651"/>
  <c r="U652"/>
  <c r="U653"/>
  <c r="U654"/>
  <c r="U655"/>
  <c r="U656"/>
  <c r="U657"/>
  <c r="U658"/>
  <c r="U659"/>
  <c r="U660"/>
  <c r="U661"/>
  <c r="U662"/>
  <c r="U663"/>
  <c r="U664"/>
  <c r="U665"/>
  <c r="U666"/>
  <c r="U667"/>
  <c r="U668"/>
  <c r="U669"/>
  <c r="U670"/>
  <c r="U671"/>
  <c r="U672"/>
  <c r="U673"/>
  <c r="U674"/>
  <c r="U675"/>
  <c r="U676"/>
  <c r="U677"/>
  <c r="U678"/>
  <c r="U679"/>
  <c r="U680"/>
  <c r="U681"/>
  <c r="U682"/>
  <c r="U683"/>
  <c r="U684"/>
  <c r="U685"/>
  <c r="U686"/>
  <c r="U687"/>
  <c r="U688"/>
  <c r="U689"/>
  <c r="U690"/>
  <c r="U691"/>
  <c r="U692"/>
  <c r="U693"/>
  <c r="U694"/>
  <c r="U695"/>
  <c r="U696"/>
  <c r="U697"/>
  <c r="U698"/>
  <c r="U699"/>
  <c r="U700"/>
  <c r="U701"/>
  <c r="U704"/>
  <c r="V1506"/>
  <c r="V760"/>
  <c r="V759"/>
  <c r="V752"/>
  <c r="V751"/>
  <c r="V747"/>
  <c r="V755"/>
  <c r="V754"/>
  <c r="V729"/>
  <c r="V728"/>
  <c r="V726"/>
  <c r="V725"/>
  <c r="V723"/>
  <c r="V721"/>
  <c r="V719"/>
  <c r="V718"/>
  <c r="V717"/>
  <c r="V715"/>
  <c r="V714"/>
  <c r="V712"/>
  <c r="V709"/>
  <c r="V706"/>
  <c r="V705"/>
  <c r="V702"/>
  <c r="V1235"/>
  <c r="V1234"/>
  <c r="V1233"/>
  <c r="V1232"/>
  <c r="V1231"/>
  <c r="V1230"/>
  <c r="V1229"/>
  <c r="V1227"/>
  <c r="V1225"/>
  <c r="V1224"/>
  <c r="V1223"/>
  <c r="V1222"/>
  <c r="V1221"/>
  <c r="V1220"/>
  <c r="V1480"/>
  <c r="V1479"/>
  <c r="U1457"/>
  <c r="V1421"/>
  <c r="V1349"/>
  <c r="V1348"/>
  <c r="V1347"/>
  <c r="V1346"/>
  <c r="V1345"/>
  <c r="V1343"/>
  <c r="V1340"/>
  <c r="V1338"/>
  <c r="V1337"/>
  <c r="V1336"/>
  <c r="V1335"/>
  <c r="V1334"/>
  <c r="V1273"/>
  <c r="V1270"/>
  <c r="V1198"/>
  <c r="V1197"/>
  <c r="V1195"/>
  <c r="V1196"/>
  <c r="V1199"/>
  <c r="V1200"/>
  <c r="V1203"/>
  <c r="V1204"/>
  <c r="V1205"/>
  <c r="V1206"/>
  <c r="V1207"/>
  <c r="V1208"/>
  <c r="V1209"/>
  <c r="V1194"/>
  <c r="V1181"/>
  <c r="V1180"/>
  <c r="V1177"/>
  <c r="U1167"/>
  <c r="U1164"/>
  <c r="U1169"/>
  <c r="U1173"/>
  <c r="U1172"/>
  <c r="U1170"/>
  <c r="U1168"/>
  <c r="U1165"/>
  <c r="U1163"/>
  <c r="U1160"/>
  <c r="U1159"/>
  <c r="U1158"/>
  <c r="V1154"/>
  <c r="V1153"/>
  <c r="V1152"/>
  <c r="V1147"/>
  <c r="V1117"/>
  <c r="U1093"/>
  <c r="V1079"/>
  <c r="V1075"/>
  <c r="V1074"/>
  <c r="V1073"/>
  <c r="V1071"/>
  <c r="V1070"/>
  <c r="U1010"/>
  <c r="U932"/>
  <c r="V868"/>
  <c r="V867"/>
  <c r="V866"/>
  <c r="V865"/>
  <c r="V816"/>
  <c r="V815"/>
  <c r="V812"/>
  <c r="T704"/>
  <c r="T168"/>
  <c r="T133"/>
  <c r="T132"/>
  <c r="T134"/>
  <c r="T136"/>
  <c r="T91"/>
  <c r="T41"/>
  <c r="T100"/>
  <c r="T681"/>
  <c r="T535"/>
  <c r="T472"/>
  <c r="T451"/>
  <c r="T430"/>
  <c r="T388"/>
  <c r="T273"/>
  <c r="T272"/>
  <c r="T271"/>
  <c r="T270"/>
  <c r="T177"/>
  <c r="T172"/>
  <c r="T171"/>
  <c r="T170"/>
  <c r="T167"/>
  <c r="T166"/>
  <c r="T165"/>
  <c r="T164"/>
  <c r="T163"/>
  <c r="T162"/>
  <c r="T161"/>
  <c r="T160"/>
  <c r="T159"/>
  <c r="T158"/>
  <c r="T157"/>
  <c r="T156"/>
  <c r="T155"/>
  <c r="T154"/>
  <c r="T153"/>
  <c r="T152"/>
  <c r="T151"/>
  <c r="T137"/>
  <c r="T370"/>
  <c r="T371"/>
  <c r="T372"/>
  <c r="T373"/>
  <c r="T374"/>
  <c r="T375"/>
  <c r="T376"/>
  <c r="T377"/>
  <c r="T378"/>
  <c r="T379"/>
  <c r="T380"/>
  <c r="T381"/>
  <c r="T382"/>
  <c r="T383"/>
  <c r="T384"/>
  <c r="T385"/>
  <c r="T386"/>
  <c r="T387"/>
  <c r="T389"/>
  <c r="T390"/>
  <c r="T391"/>
  <c r="T392"/>
  <c r="T393"/>
  <c r="T394"/>
  <c r="T395"/>
  <c r="T396"/>
  <c r="T397"/>
  <c r="T398"/>
  <c r="T399"/>
  <c r="T400"/>
  <c r="T401"/>
  <c r="T402"/>
  <c r="T403"/>
  <c r="T404"/>
  <c r="T405"/>
  <c r="T406"/>
  <c r="T407"/>
  <c r="T408"/>
  <c r="T410"/>
  <c r="T411"/>
  <c r="T412"/>
  <c r="T413"/>
  <c r="T414"/>
  <c r="T415"/>
  <c r="T416"/>
  <c r="T417"/>
  <c r="T418"/>
  <c r="T419"/>
  <c r="T420"/>
  <c r="T421"/>
  <c r="T422"/>
  <c r="T423"/>
  <c r="T424"/>
  <c r="T425"/>
  <c r="T426"/>
  <c r="T427"/>
  <c r="T428"/>
  <c r="T429"/>
  <c r="T431"/>
  <c r="T432"/>
  <c r="T433"/>
  <c r="T434"/>
  <c r="T435"/>
  <c r="T436"/>
  <c r="T437"/>
  <c r="T438"/>
  <c r="T439"/>
  <c r="T440"/>
  <c r="T441"/>
  <c r="T442"/>
  <c r="T443"/>
  <c r="T444"/>
  <c r="T445"/>
  <c r="T446"/>
  <c r="T447"/>
  <c r="T448"/>
  <c r="T449"/>
  <c r="T450"/>
  <c r="T452"/>
  <c r="T454"/>
  <c r="T455"/>
  <c r="T456"/>
  <c r="T457"/>
  <c r="T458"/>
  <c r="T459"/>
  <c r="T460"/>
  <c r="T461"/>
  <c r="T462"/>
  <c r="T463"/>
  <c r="T464"/>
  <c r="T465"/>
  <c r="T466"/>
  <c r="T467"/>
  <c r="T468"/>
  <c r="T469"/>
  <c r="T470"/>
  <c r="T471"/>
  <c r="T473"/>
  <c r="T474"/>
  <c r="T475"/>
  <c r="T476"/>
  <c r="T477"/>
  <c r="T478"/>
  <c r="T479"/>
  <c r="T480"/>
  <c r="T481"/>
  <c r="T482"/>
  <c r="T483"/>
  <c r="T484"/>
  <c r="T485"/>
  <c r="T486"/>
  <c r="T487"/>
  <c r="T488"/>
  <c r="T489"/>
  <c r="T490"/>
  <c r="T491"/>
  <c r="T492"/>
  <c r="T494"/>
  <c r="T495"/>
  <c r="T496"/>
  <c r="T497"/>
  <c r="T498"/>
  <c r="T499"/>
  <c r="T500"/>
  <c r="T501"/>
  <c r="T502"/>
  <c r="T503"/>
  <c r="T504"/>
  <c r="T505"/>
  <c r="T506"/>
  <c r="T507"/>
  <c r="T508"/>
  <c r="T509"/>
  <c r="T510"/>
  <c r="T511"/>
  <c r="T512"/>
  <c r="T513"/>
  <c r="T536"/>
  <c r="T537"/>
  <c r="T538"/>
  <c r="T539"/>
  <c r="T540"/>
  <c r="T541"/>
  <c r="T542"/>
  <c r="T543"/>
  <c r="T544"/>
  <c r="T545"/>
  <c r="T546"/>
  <c r="T547"/>
  <c r="T548"/>
  <c r="T549"/>
  <c r="T550"/>
  <c r="T551"/>
  <c r="T553"/>
  <c r="T554"/>
  <c r="T555"/>
  <c r="T556"/>
  <c r="T557"/>
  <c r="T558"/>
  <c r="T559"/>
  <c r="T560"/>
  <c r="T561"/>
  <c r="T562"/>
  <c r="T563"/>
  <c r="T564"/>
  <c r="T565"/>
  <c r="T566"/>
  <c r="T567"/>
  <c r="T568"/>
  <c r="T569"/>
  <c r="T570"/>
  <c r="T571"/>
  <c r="T572"/>
  <c r="T573"/>
  <c r="T574"/>
  <c r="T575"/>
  <c r="T576"/>
  <c r="T578"/>
  <c r="T579"/>
  <c r="T580"/>
  <c r="T581"/>
  <c r="T582"/>
  <c r="T583"/>
  <c r="T584"/>
  <c r="T585"/>
  <c r="T586"/>
  <c r="T587"/>
  <c r="T588"/>
  <c r="T589"/>
  <c r="T590"/>
  <c r="T591"/>
  <c r="T592"/>
  <c r="T593"/>
  <c r="T594"/>
  <c r="T595"/>
  <c r="T596"/>
  <c r="T597"/>
  <c r="T600"/>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2"/>
  <c r="T683"/>
  <c r="T684"/>
  <c r="T685"/>
  <c r="T686"/>
  <c r="T687"/>
  <c r="T688"/>
  <c r="T689"/>
  <c r="T690"/>
  <c r="T691"/>
  <c r="T692"/>
  <c r="T693"/>
  <c r="T694"/>
  <c r="T695"/>
  <c r="T696"/>
  <c r="T697"/>
  <c r="T698"/>
  <c r="T699"/>
  <c r="T700"/>
  <c r="T701"/>
  <c r="V1237"/>
  <c r="V1238"/>
  <c r="V1239"/>
  <c r="V1241"/>
  <c r="V1242"/>
  <c r="V1245"/>
  <c r="V1246"/>
  <c r="V1247"/>
  <c r="V1248"/>
  <c r="V1249"/>
  <c r="V1250"/>
  <c r="V1251"/>
  <c r="V1236"/>
  <c r="U1012"/>
  <c r="U1013"/>
  <c r="U1015"/>
  <c r="U1016"/>
  <c r="U1017"/>
  <c r="U1018"/>
  <c r="U1020"/>
  <c r="U1022"/>
  <c r="U1023"/>
  <c r="U1024"/>
  <c r="U1025"/>
  <c r="U1026"/>
  <c r="U1011"/>
  <c r="V988"/>
  <c r="V989"/>
  <c r="V991"/>
  <c r="V992"/>
  <c r="V993"/>
  <c r="V996"/>
  <c r="V998"/>
  <c r="V999"/>
  <c r="V1000"/>
  <c r="V1001"/>
  <c r="V1002"/>
  <c r="V987"/>
  <c r="V971"/>
  <c r="V972"/>
  <c r="V975"/>
  <c r="V976"/>
  <c r="V977"/>
  <c r="V980"/>
  <c r="V982"/>
  <c r="V983"/>
  <c r="V984"/>
  <c r="V985"/>
  <c r="V986"/>
  <c r="V970"/>
  <c r="T409"/>
  <c r="T577"/>
  <c r="T169"/>
  <c r="T639"/>
  <c r="T493"/>
  <c r="U297"/>
  <c r="U293"/>
  <c r="U292"/>
  <c r="T756"/>
  <c r="Z1576" l="1"/>
  <c r="T746"/>
  <c r="U294"/>
  <c r="U985"/>
  <c r="U986"/>
  <c r="U984"/>
  <c r="U982"/>
  <c r="U977"/>
  <c r="U975"/>
  <c r="U971"/>
  <c r="U1002"/>
  <c r="U1000"/>
  <c r="U998"/>
  <c r="U993"/>
  <c r="U991"/>
  <c r="U988"/>
  <c r="U1251"/>
  <c r="U1249"/>
  <c r="U1247"/>
  <c r="U1245"/>
  <c r="U1241"/>
  <c r="U1238"/>
  <c r="U1180"/>
  <c r="U1194"/>
  <c r="U1208"/>
  <c r="U1206"/>
  <c r="U1204"/>
  <c r="U1200"/>
  <c r="U1196"/>
  <c r="U1197"/>
  <c r="U1141"/>
  <c r="U1136"/>
  <c r="U1132"/>
  <c r="U1135"/>
  <c r="U1243"/>
  <c r="U1128"/>
  <c r="U981"/>
  <c r="U1127"/>
  <c r="U979"/>
  <c r="U1134"/>
  <c r="U970"/>
  <c r="U983"/>
  <c r="U980"/>
  <c r="U976"/>
  <c r="U972"/>
  <c r="U987"/>
  <c r="U1001"/>
  <c r="U999"/>
  <c r="U996"/>
  <c r="U992"/>
  <c r="U989"/>
  <c r="U1236"/>
  <c r="U1250"/>
  <c r="U1248"/>
  <c r="U1246"/>
  <c r="U1242"/>
  <c r="U1239"/>
  <c r="U1237"/>
  <c r="U1177"/>
  <c r="U1181"/>
  <c r="U1209"/>
  <c r="U1207"/>
  <c r="U1205"/>
  <c r="U1203"/>
  <c r="U1199"/>
  <c r="U1195"/>
  <c r="U1198"/>
  <c r="U1140"/>
  <c r="U1133"/>
  <c r="U1131"/>
  <c r="U1137"/>
  <c r="U1139"/>
  <c r="U1240"/>
  <c r="U997"/>
  <c r="U1138"/>
  <c r="U995"/>
  <c r="U1202"/>
  <c r="U1244"/>
  <c r="U1108"/>
  <c r="U815"/>
  <c r="U865"/>
  <c r="U867"/>
  <c r="U1071"/>
  <c r="U1074"/>
  <c r="U1147"/>
  <c r="U1153"/>
  <c r="U1273"/>
  <c r="U1335"/>
  <c r="U1337"/>
  <c r="U1340"/>
  <c r="U1345"/>
  <c r="U1347"/>
  <c r="U1349"/>
  <c r="U1479"/>
  <c r="U1220"/>
  <c r="U1222"/>
  <c r="U1224"/>
  <c r="U1227"/>
  <c r="U1230"/>
  <c r="U1232"/>
  <c r="U1234"/>
  <c r="U1339"/>
  <c r="U955"/>
  <c r="U959"/>
  <c r="U1344"/>
  <c r="U839"/>
  <c r="U1216"/>
  <c r="U813"/>
  <c r="U835"/>
  <c r="U820"/>
  <c r="U1072"/>
  <c r="U1228"/>
  <c r="U1342"/>
  <c r="U816"/>
  <c r="U866"/>
  <c r="U868"/>
  <c r="U1070"/>
  <c r="U1073"/>
  <c r="U1075"/>
  <c r="U1079"/>
  <c r="U1117"/>
  <c r="U1148"/>
  <c r="U1152"/>
  <c r="U1154"/>
  <c r="U1270"/>
  <c r="U1334"/>
  <c r="U1336"/>
  <c r="U1338"/>
  <c r="U1343"/>
  <c r="U1346"/>
  <c r="U1348"/>
  <c r="U1421"/>
  <c r="U1480"/>
  <c r="U1221"/>
  <c r="U1223"/>
  <c r="U1225"/>
  <c r="U1229"/>
  <c r="U1231"/>
  <c r="U1233"/>
  <c r="U1235"/>
  <c r="U1506"/>
  <c r="U954"/>
  <c r="U958"/>
  <c r="U1422"/>
  <c r="U1226"/>
  <c r="U1341"/>
  <c r="U1215"/>
  <c r="U1217"/>
  <c r="U814"/>
  <c r="U836"/>
  <c r="U1156"/>
  <c r="U819"/>
  <c r="T702"/>
  <c r="U812"/>
  <c r="T758"/>
  <c r="U296"/>
  <c r="U702"/>
  <c r="U706"/>
  <c r="U712"/>
  <c r="U715"/>
  <c r="U718"/>
  <c r="U721"/>
  <c r="U725"/>
  <c r="U728"/>
  <c r="U754"/>
  <c r="U747"/>
  <c r="U752"/>
  <c r="U760"/>
  <c r="U748"/>
  <c r="U749"/>
  <c r="U716"/>
  <c r="U753"/>
  <c r="U713"/>
  <c r="U720"/>
  <c r="U746"/>
  <c r="U305"/>
  <c r="S305"/>
  <c r="T305" s="1"/>
  <c r="U303"/>
  <c r="S303"/>
  <c r="T303" s="1"/>
  <c r="U301"/>
  <c r="S301"/>
  <c r="T301" s="1"/>
  <c r="S296"/>
  <c r="T296" s="1"/>
  <c r="S294"/>
  <c r="T294" s="1"/>
  <c r="S292"/>
  <c r="T292" s="1"/>
  <c r="U299"/>
  <c r="S299"/>
  <c r="T299" s="1"/>
  <c r="U722"/>
  <c r="U750"/>
  <c r="U705"/>
  <c r="U709"/>
  <c r="U714"/>
  <c r="U717"/>
  <c r="U719"/>
  <c r="U723"/>
  <c r="U726"/>
  <c r="U729"/>
  <c r="U755"/>
  <c r="U751"/>
  <c r="U759"/>
  <c r="U708"/>
  <c r="U727"/>
  <c r="U758"/>
  <c r="U710"/>
  <c r="U724"/>
  <c r="U757"/>
  <c r="U707"/>
  <c r="U756"/>
  <c r="U306"/>
  <c r="S306"/>
  <c r="T306" s="1"/>
  <c r="U304"/>
  <c r="S304"/>
  <c r="T304" s="1"/>
  <c r="U302"/>
  <c r="S302"/>
  <c r="T302" s="1"/>
  <c r="S300"/>
  <c r="T300" s="1"/>
  <c r="S297"/>
  <c r="T297" s="1"/>
  <c r="U295"/>
  <c r="S295"/>
  <c r="T295" s="1"/>
  <c r="S293"/>
  <c r="T293" s="1"/>
  <c r="S291"/>
  <c r="T291" s="1"/>
  <c r="U711"/>
  <c r="I8" i="8"/>
  <c r="U291" i="4"/>
  <c r="U300"/>
  <c r="T760"/>
  <c r="T759"/>
  <c r="V1578" l="1"/>
  <c r="C26" i="8"/>
  <c r="C27"/>
  <c r="I9"/>
  <c r="C28" l="1"/>
  <c r="C29" s="1"/>
  <c r="E25"/>
</calcChain>
</file>

<file path=xl/comments1.xml><?xml version="1.0" encoding="utf-8"?>
<comments xmlns="http://schemas.openxmlformats.org/spreadsheetml/2006/main">
  <authors>
    <author>HP</author>
  </authors>
  <commentList>
    <comment ref="Z39" authorId="0">
      <text>
        <r>
          <rPr>
            <b/>
            <sz val="9"/>
            <color indexed="81"/>
            <rFont val="Tahoma"/>
            <family val="2"/>
            <charset val="204"/>
          </rPr>
          <t>HP:</t>
        </r>
        <r>
          <rPr>
            <sz val="9"/>
            <color indexed="81"/>
            <rFont val="Tahoma"/>
            <family val="2"/>
            <charset val="204"/>
          </rPr>
          <t xml:space="preserve">
колл центр мебель</t>
        </r>
      </text>
    </comment>
    <comment ref="V932"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comments2.xml><?xml version="1.0" encoding="utf-8"?>
<comments xmlns="http://schemas.openxmlformats.org/spreadsheetml/2006/main">
  <authors>
    <author>HP</author>
  </authors>
  <commentList>
    <comment ref="C20" authorId="0">
      <text>
        <r>
          <rPr>
            <b/>
            <sz val="9"/>
            <color indexed="81"/>
            <rFont val="Tahoma"/>
            <family val="2"/>
            <charset val="204"/>
          </rPr>
          <t>HP:</t>
        </r>
        <r>
          <rPr>
            <sz val="9"/>
            <color indexed="81"/>
            <rFont val="Tahoma"/>
            <family val="2"/>
            <charset val="204"/>
          </rPr>
          <t xml:space="preserve">
включены материалы по филиалам в сумме 652 080тг.</t>
        </r>
      </text>
    </comment>
    <comment ref="C21" authorId="0">
      <text>
        <r>
          <rPr>
            <b/>
            <sz val="9"/>
            <color indexed="81"/>
            <rFont val="Tahoma"/>
            <family val="2"/>
            <charset val="204"/>
          </rPr>
          <t>HP:</t>
        </r>
        <r>
          <rPr>
            <sz val="9"/>
            <color indexed="81"/>
            <rFont val="Tahoma"/>
            <family val="2"/>
            <charset val="204"/>
          </rPr>
          <t xml:space="preserve">
300 тыс. уборка помещ. В ско, 36 тыс. доложтлт талдыкорган по уборке помещения</t>
        </r>
      </text>
    </comment>
  </commentList>
</comments>
</file>

<file path=xl/sharedStrings.xml><?xml version="1.0" encoding="utf-8"?>
<sst xmlns="http://schemas.openxmlformats.org/spreadsheetml/2006/main" count="19083" uniqueCount="2930">
  <si>
    <t xml:space="preserve">к Инструкции о порядке составления и </t>
  </si>
  <si>
    <t xml:space="preserve">представления отчетности по </t>
  </si>
  <si>
    <t xml:space="preserve">                                                                                                                                                                                  </t>
  </si>
  <si>
    <t xml:space="preserve">№ </t>
  </si>
  <si>
    <t>Код по КПВЭД (6 знаков)</t>
  </si>
  <si>
    <t>Способ закупок</t>
  </si>
  <si>
    <t>Прогноз казахстанского содержания, %</t>
  </si>
  <si>
    <t>Код КАТО места осуществления закупки</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</si>
  <si>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</si>
  <si>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</si>
  <si>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</si>
  <si>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</si>
  <si>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</si>
  <si>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</si>
  <si>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</si>
  <si>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</si>
  <si>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</si>
  <si>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</si>
  <si>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Год закупки</t>
  </si>
  <si>
    <t>Примечание</t>
  </si>
  <si>
    <t>1. Товары</t>
  </si>
  <si>
    <t>итого по товарам</t>
  </si>
  <si>
    <t>х</t>
  </si>
  <si>
    <t xml:space="preserve">2. Работы </t>
  </si>
  <si>
    <t>итого по работам</t>
  </si>
  <si>
    <t xml:space="preserve">3. Услуги </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</si>
  <si>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</si>
  <si>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</si>
  <si>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</si>
  <si>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</si>
  <si>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</si>
  <si>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</si>
  <si>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Примечание!</t>
  </si>
  <si>
    <t>Наименование дочерней организации _____________________</t>
  </si>
  <si>
    <t>С изменениями и дополнениями от _______________ (дата, месяц)</t>
  </si>
  <si>
    <t>Количество организаций, входящих в Холдинг __________________</t>
  </si>
  <si>
    <t>Наименование организации</t>
  </si>
  <si>
    <t>Наименование закупаемых товаров, работ и услуг</t>
  </si>
  <si>
    <t xml:space="preserve">Ед. измерен. </t>
  </si>
  <si>
    <t>итого по наименованию*</t>
  </si>
  <si>
    <t xml:space="preserve">Руководство по заполнению граф Формы сводного плана закупок товаров, работ и услуг </t>
  </si>
  <si>
    <t>Маркетинговая цена за единицу, тенге без НДС. Цена, определяемая согласно Правил определения маркетинговых цен на товары, утвержденных решением Правления АО "Самрук - Казына" от 2  июня 2009 года № 60/09. Заполняется только по разделу "Товары".</t>
  </si>
  <si>
    <t>Год закупки. Указывается  год проведения закупки.</t>
  </si>
  <si>
    <t>Ячейки не заполняются.</t>
  </si>
  <si>
    <t>Наименование организации, входящей в Холдинг _____________________</t>
  </si>
  <si>
    <t xml:space="preserve">Наименование закупаемых товаров, работ и услуг </t>
  </si>
  <si>
    <t>Наименование поставщика</t>
  </si>
  <si>
    <t>Данная форма представляется согласно срокам, указанным в настоящей Инструкции с нарастающим итогом.</t>
  </si>
  <si>
    <t xml:space="preserve">Информация из плана закупок </t>
  </si>
  <si>
    <t>Информация по исполнению  плана закупок</t>
  </si>
  <si>
    <t xml:space="preserve">Краткая характеристика (описание) товаров, работ и услуг с указанием (СТ РК, ГОСТ, ТУ и т.д.) </t>
  </si>
  <si>
    <t xml:space="preserve">Способ закупок </t>
  </si>
  <si>
    <t>№ и дата договора(ов)</t>
  </si>
  <si>
    <t xml:space="preserve">Наименование закупаемых ТРУ </t>
  </si>
  <si>
    <t>…</t>
  </si>
  <si>
    <t xml:space="preserve">Руководство по заполнению граф Формы отчетности по исполнению плана закупок товаров, работ и услуг </t>
  </si>
  <si>
    <t>1-9</t>
  </si>
  <si>
    <t xml:space="preserve">Способ закупок. Указывается фактический способ закупки, в соответствии с которым заключен (ы) договор(ы) по каждой строке плана закупок </t>
  </si>
  <si>
    <t xml:space="preserve">Наименование закупаемых ТРУ. Указывается наименование: по товарам - полное наименование товаров, по работам и услугам - наименование работ и услуг согласно предмета договора. </t>
  </si>
  <si>
    <t xml:space="preserve">Место (адрес)  осуществления закупок </t>
  </si>
  <si>
    <t>Сумма, планируемая для закупок ТРУ без НДС,  тенге</t>
  </si>
  <si>
    <t xml:space="preserve">Краткая характеристика (описание) товаров, работ и услуг с указанием СТ РК, ГОСТ, ТУ и т.д. </t>
  </si>
  <si>
    <t>Условия оплаты (размер авансового платежа), %</t>
  </si>
  <si>
    <t>Указывается соответствующая цифро-буквенная нумерация строки плана закупок организаций, входящей в Холдинг, данные плана закупок которой учитываются при составлении сводного плана.</t>
  </si>
  <si>
    <t xml:space="preserve">Наименование организации. Указывается наименование организации, входящей в Холдинг, данные плана закупок которой учитываются при составлении сводного плана. </t>
  </si>
  <si>
    <t>Количество, объем. Указывается количество товара по каждой организации, входящей в Холдинг, а также сводное количество (итого по наименованию) по каждому наименованию товара. По работам и услугам не заполняется.</t>
  </si>
  <si>
    <t xml:space="preserve">Сумма,  планируемая для закупок ТРУ без НДС,  тенге. Указывается сумма, планируемая для закупок ТРУ без НДС  по каждой организации, входящей в Холдинг, а также сводная сумма, планируемая для закупок ТРУ без НДС по каждому наименованию товара, работы или услуги. </t>
  </si>
  <si>
    <t xml:space="preserve">Сумма,  планируемая для закупок ТРУ с НДС,  тенге. Указывается сумма, планируемая для закупок ТРУ с НДС  по каждой организации, входящей в Холдинг, а также сводная сумма, планируемая для закупок ТРУ с НДС по каждому наименованию товара, работы или услуги. </t>
  </si>
  <si>
    <t>Форма отчета по исполнению плана закупок товаров, работ и услуг</t>
  </si>
  <si>
    <t xml:space="preserve">Сумма закупки с НДС, тенге </t>
  </si>
  <si>
    <t>Часть формы "Информация по исполнению плана закупок" заполянется по каждой соответствующей строке утвержденного плана закупок</t>
  </si>
  <si>
    <t>Переносится информация из соответствующих граф плана закупок, составленного и утвержденного по  форме Приложения 1 к Инструкции</t>
  </si>
  <si>
    <t xml:space="preserve">Количество/объем </t>
  </si>
  <si>
    <t>Сумма закупки, тенге с НДС. Указывается сумма закупленного ТРУ по договору (ам). В случае, если договором предусматривается закупка нескольких наименований ТРУ, сумма по соответствующему наименованию ТРУ указывается по соответствующей строке плана закупок.</t>
  </si>
  <si>
    <t>Цена закупки товара с НДС, тенге</t>
  </si>
  <si>
    <t>Цена закупки товара с НДС, тенге. Указывается цена за единицу закупленного товара по договору (ам). В случае, если договором предусматривается закупка нескольких наименований товаров, цена за единицу соответствующего наименования товара указывается по соответствующей строке  плана закупок.</t>
  </si>
  <si>
    <t>Приложение № 3</t>
  </si>
  <si>
    <t>Форма отчетности должна представляться в электронном виде, в формате xls (Microsoft Excel 2003), изменение формы отчетности не допускается.</t>
  </si>
  <si>
    <t xml:space="preserve">Форма сводного плана закупок товаров, работ и услуг на ____ год (ы) </t>
  </si>
  <si>
    <t>Приложение № 2</t>
  </si>
  <si>
    <t>Дата  составления _________________________________________</t>
  </si>
  <si>
    <r>
      <t xml:space="preserve">№ и дата договора (ов). Указывается № и дата договора(ов), заключенного(ых) по каждой строке плана закупок. </t>
    </r>
    <r>
      <rPr>
        <b/>
        <sz val="12"/>
        <rFont val="Times New Roman"/>
        <family val="1"/>
        <charset val="204"/>
      </rPr>
      <t>Пример: № 15-6 от 16.05.2010.</t>
    </r>
    <r>
      <rPr>
        <sz val="12"/>
        <rFont val="Times New Roman"/>
        <family val="1"/>
        <charset val="204"/>
      </rPr>
      <t xml:space="preserve"> В случае если по соответствующей строке утвержденного плана закупок было заключено несколько договоров, то они указываются в отдельных строках части "Информация по исполнению плана закупок". В случае если договором предусматривается закупка нескольких наименований ТРУ, то данный договор отражается по каждой соответствующей позиции строки плана закупок. При совершении сделок на сумму менее 100 МРП (без заключения договора), в данной графе отражается № и дата соответствующего финансового документа (счет-фактура, чек и пр.)</t>
    </r>
  </si>
  <si>
    <r>
      <t xml:space="preserve">Наименование поставщика. Указывается  наименование юридического или физического лица, с которым заключен договор закупок. Пример: </t>
    </r>
    <r>
      <rPr>
        <b/>
        <sz val="12"/>
        <rFont val="Times New Roman"/>
        <family val="1"/>
        <charset val="204"/>
      </rPr>
      <t>ТОО Меридиан; ИП Малахов И.В.; АО Энергия.</t>
    </r>
  </si>
  <si>
    <r>
      <t xml:space="preserve">Количество/объем. Указывается количество/объем товара согласно договора (ов). </t>
    </r>
    <r>
      <rPr>
        <u/>
        <sz val="12"/>
        <rFont val="Times New Roman"/>
        <family val="1"/>
        <charset val="204"/>
      </rPr>
      <t>По работам и услугам не заполняется.</t>
    </r>
  </si>
  <si>
    <t>Дата составления __________________________</t>
  </si>
  <si>
    <r>
      <t>Единица измерения. Наименование единиц измерения товаров указывается согласно МКЕИ. П</t>
    </r>
    <r>
      <rPr>
        <u/>
        <sz val="12"/>
        <rFont val="Times New Roman"/>
        <family val="1"/>
        <charset val="204"/>
      </rPr>
      <t>о работам и услугам не заполняется</t>
    </r>
  </si>
  <si>
    <r>
      <t xml:space="preserve">* Данная строка предназначена для заполнения сводной/суммарной информации по каждому наименованию закупаемых ТРУ. </t>
    </r>
    <r>
      <rPr>
        <b/>
        <u/>
        <sz val="12"/>
        <rFont val="Times New Roman"/>
        <family val="1"/>
        <charset val="204"/>
      </rPr>
      <t>Графы 2 - 7, 10 по данной строке на заполняются.</t>
    </r>
    <r>
      <rPr>
        <b/>
        <sz val="12"/>
        <rFont val="Times New Roman"/>
        <family val="1"/>
        <charset val="204"/>
      </rPr>
      <t xml:space="preserve"> </t>
    </r>
  </si>
  <si>
    <t>вопросам закупок, утвержденной решением Правлением АО "Самрук-Казына (протокол № ____ от _____)</t>
  </si>
  <si>
    <t>вопросам закупок, утвержденной решением Правлением АО "Самрук-Казына (протокол № ____ от ______)</t>
  </si>
  <si>
    <t>Шредер</t>
  </si>
  <si>
    <t>Стеллажи архивные</t>
  </si>
  <si>
    <t>Система видеонаблюдения</t>
  </si>
  <si>
    <t>Сейф</t>
  </si>
  <si>
    <t>Акмолинская обл.,            г. Кокшетау</t>
  </si>
  <si>
    <t>Шкаф для документов</t>
  </si>
  <si>
    <t>Кресло для руководителя</t>
  </si>
  <si>
    <t>Актюбинская обл. г. Актобе</t>
  </si>
  <si>
    <t>ВКО, г. Усть-Каменогорск</t>
  </si>
  <si>
    <t>ЗКО, г. Уральск</t>
  </si>
  <si>
    <t>Стол рабочий</t>
  </si>
  <si>
    <t>Костанайская обл., г. Костанай</t>
  </si>
  <si>
    <t>Павлодарская обл., г. Павлодар</t>
  </si>
  <si>
    <t>Жамбылская обл. г. Тараз</t>
  </si>
  <si>
    <t>СКО, г. Петропавловск</t>
  </si>
  <si>
    <t>ЮКО, г. Шымкент</t>
  </si>
  <si>
    <t>Мангистауская обл. г. Актау</t>
  </si>
  <si>
    <t>Светильник</t>
  </si>
  <si>
    <t>Ключ трубный</t>
  </si>
  <si>
    <t>Молоток</t>
  </si>
  <si>
    <t>Набор отверток</t>
  </si>
  <si>
    <t>Кабель</t>
  </si>
  <si>
    <t>Изолента</t>
  </si>
  <si>
    <t>Рубанок</t>
  </si>
  <si>
    <t>Рулетка</t>
  </si>
  <si>
    <t>Метла</t>
  </si>
  <si>
    <t>Автошины</t>
  </si>
  <si>
    <t xml:space="preserve">Бензин </t>
  </si>
  <si>
    <t>Алматинская область, г. Талдыкорган</t>
  </si>
  <si>
    <t>Атырауская  область, г. Атырау</t>
  </si>
  <si>
    <t>Жамбылская область, г. Тараз</t>
  </si>
  <si>
    <t>Карагандинская область, г. Караганда</t>
  </si>
  <si>
    <t>Костанайская область, г. Костанай</t>
  </si>
  <si>
    <t>Кызылординская область, г. Кызылорда</t>
  </si>
  <si>
    <t>Мангистауская область, г. Актау</t>
  </si>
  <si>
    <t>Павлодарская область, г. Павлодар</t>
  </si>
  <si>
    <t>Акмолинская область, г. Кокшетау</t>
  </si>
  <si>
    <t>Актюбинская  область, г. Актобе</t>
  </si>
  <si>
    <t xml:space="preserve">Ежедневник датированный </t>
  </si>
  <si>
    <t xml:space="preserve">Скобы - №10 </t>
  </si>
  <si>
    <t>Батарейка</t>
  </si>
  <si>
    <t>Бумага факсовая</t>
  </si>
  <si>
    <t>стикеры</t>
  </si>
  <si>
    <t>Клей</t>
  </si>
  <si>
    <t>Маркер</t>
  </si>
  <si>
    <t>Органайзер</t>
  </si>
  <si>
    <t>Файлы</t>
  </si>
  <si>
    <t>Регистратор</t>
  </si>
  <si>
    <t>Скоросшиватель</t>
  </si>
  <si>
    <t>Скотч</t>
  </si>
  <si>
    <t>Скрепки</t>
  </si>
  <si>
    <t>Скобы</t>
  </si>
  <si>
    <t>Степлер</t>
  </si>
  <si>
    <t>Корректор</t>
  </si>
  <si>
    <t>Ручки</t>
  </si>
  <si>
    <t>Карандаш</t>
  </si>
  <si>
    <t>Бумага для заметок</t>
  </si>
  <si>
    <t>Калькулятор</t>
  </si>
  <si>
    <t xml:space="preserve">Конверт </t>
  </si>
  <si>
    <t>Дырокол</t>
  </si>
  <si>
    <t>Зажим</t>
  </si>
  <si>
    <t>Стикеры</t>
  </si>
  <si>
    <t xml:space="preserve">г.Астана </t>
  </si>
  <si>
    <t>Представительские расходы</t>
  </si>
  <si>
    <t>Техобслуживание системы  видеонаблюдения</t>
  </si>
  <si>
    <t>Промывка и опрессовка отоп.системы</t>
  </si>
  <si>
    <t>Ремонт шлагбаума</t>
  </si>
  <si>
    <t>Поддержка программного обеспечения Антивирус Касперского</t>
  </si>
  <si>
    <t>Услуги по автомойке</t>
  </si>
  <si>
    <t>Услуги по автостоянке</t>
  </si>
  <si>
    <t>Посадка цветов</t>
  </si>
  <si>
    <t>Разметка стоянки</t>
  </si>
  <si>
    <t xml:space="preserve">Изготовление фирменных бланков </t>
  </si>
  <si>
    <t>Переплет документов для архива</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</si>
  <si>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</si>
  <si>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</si>
  <si>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</si>
  <si>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</si>
  <si>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</si>
  <si>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Организация и проведение пресс-конференции</t>
  </si>
  <si>
    <t xml:space="preserve">Корпоративные мероприятия </t>
  </si>
  <si>
    <t xml:space="preserve">Выпуск аналитической книги </t>
  </si>
  <si>
    <t xml:space="preserve">Услуги охраны залогового имущества  </t>
  </si>
  <si>
    <t>Услуги адвокатов</t>
  </si>
  <si>
    <t>Юридические услуги</t>
  </si>
  <si>
    <t>Аренда офисных помещений</t>
  </si>
  <si>
    <t>Услуги по комплексной уборке помещений</t>
  </si>
  <si>
    <t>Услуги по научно-технической обработке ведомственного архива Национальным архивом РК</t>
  </si>
  <si>
    <t>Услуги по перевозке грузов в регионы</t>
  </si>
  <si>
    <t>Услуги по техническому сопровождению карты мониторинга казахстанского содержания</t>
  </si>
  <si>
    <t xml:space="preserve">Абонплата за поддержание корпоративной сети </t>
  </si>
  <si>
    <t>Подключение к услуге IP VPN</t>
  </si>
  <si>
    <t>Междугородние переговоры</t>
  </si>
  <si>
    <t>Абонплата за телефон</t>
  </si>
  <si>
    <t>Услуги кабельного телевидения</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</si>
  <si>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</si>
  <si>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</si>
  <si>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</si>
  <si>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</si>
  <si>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</si>
  <si>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</si>
  <si>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</si>
  <si>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Агентства по статистике</t>
  </si>
  <si>
    <t>Аудиторские услуги</t>
  </si>
  <si>
    <t>Подписка на периодику</t>
  </si>
  <si>
    <t>Услуги нотариуса</t>
  </si>
  <si>
    <t xml:space="preserve">Приобретение специальной литературы  </t>
  </si>
  <si>
    <t>Добровольное медицинское страхование сотрудников</t>
  </si>
  <si>
    <t>Обязательное страхование ответственности работодателя</t>
  </si>
  <si>
    <t>Услуги по отбору лекторов и обеспечение их участия в реализации Программы "Бизнес Советник"</t>
  </si>
  <si>
    <t xml:space="preserve">Услуги по организации и проведению Мастер-класса "Обучение преподавателей" </t>
  </si>
  <si>
    <t>Услуги по изготовлению раздаточных материалов</t>
  </si>
  <si>
    <t>Аренда автотранспорта для лекторов в рамках программы "Бизнес-советник"</t>
  </si>
  <si>
    <t>Услуги по оценке залогового имущества</t>
  </si>
  <si>
    <t>Услуги по экспорту базы данных Агенства РК по статистике в ГИС Фонда</t>
  </si>
  <si>
    <t>Услуги Банка Развития Казахстана по проведению банковской экспертизы</t>
  </si>
  <si>
    <t>Техническая поддержка системы бесперебойного питания Gamatronic 20 кВа и 60 кВа</t>
  </si>
  <si>
    <t xml:space="preserve">Техническое обслуживание промышленных и полупромышленных кондиционеров </t>
  </si>
  <si>
    <t>Поддержка доменных имен</t>
  </si>
  <si>
    <t>Услуги хостинга</t>
  </si>
  <si>
    <t xml:space="preserve">Техобслуживание системы охранной сигнализации </t>
  </si>
  <si>
    <t>Услуги по ремонту и обслуживанию основных средств и нематериальных активов</t>
  </si>
  <si>
    <t>Услуги по ремонту и обслуживанию легковых автомашин</t>
  </si>
  <si>
    <t>Услуги по ремонту и обслуживанию микроавтобусов</t>
  </si>
  <si>
    <t>Услуги техосмотра</t>
  </si>
  <si>
    <t>Изготовление открыток</t>
  </si>
  <si>
    <t xml:space="preserve">Изготовление пресс-наборов </t>
  </si>
  <si>
    <t>Организация интервью</t>
  </si>
  <si>
    <t xml:space="preserve">Организация и проведение пресс-туров </t>
  </si>
  <si>
    <t xml:space="preserve">Создание рекламного видеоролика </t>
  </si>
  <si>
    <t xml:space="preserve">Размещение платных материалов о деятельности Фонда </t>
  </si>
  <si>
    <t>Публикация  объявлений в СМИ</t>
  </si>
  <si>
    <t>Расходы на рекламу</t>
  </si>
  <si>
    <t xml:space="preserve">Тиражирование лифлетов, брошюр, методических пособий </t>
  </si>
  <si>
    <t>Расходы на охрану помещения</t>
  </si>
  <si>
    <t>Услуга связи</t>
  </si>
  <si>
    <t>Доступ к платным ресурсам сайта АО "KASE"</t>
  </si>
  <si>
    <t xml:space="preserve">Услуги нотариуса </t>
  </si>
  <si>
    <t xml:space="preserve">Подписка на периодику </t>
  </si>
  <si>
    <t xml:space="preserve">Страхование автотранспорта </t>
  </si>
  <si>
    <t>Дверная ручка</t>
  </si>
  <si>
    <t>Замок</t>
  </si>
  <si>
    <t>Дистанционные карточки</t>
  </si>
  <si>
    <t>Жидкость для омывателя</t>
  </si>
  <si>
    <t>Антигель для дизельного топлива</t>
  </si>
  <si>
    <t>Бумага туалетная</t>
  </si>
  <si>
    <t>Услуги по обеспечению работы CALL центра</t>
  </si>
  <si>
    <t>ВКО, г. Семей</t>
  </si>
  <si>
    <t>Карагандинская область, г.Жезказган</t>
  </si>
  <si>
    <t>Костанайская область, г. Аркалык</t>
  </si>
  <si>
    <t>Оформление здания к праздничным мероприятиям</t>
  </si>
  <si>
    <t>4 У</t>
  </si>
  <si>
    <t>DDP</t>
  </si>
  <si>
    <t>ОТ</t>
  </si>
  <si>
    <t>ОИ</t>
  </si>
  <si>
    <t>Услуги доступа в Интернет</t>
  </si>
  <si>
    <t>ЦП</t>
  </si>
  <si>
    <t>АО "Фонд развития предпринимательства "Даму"</t>
  </si>
  <si>
    <t>28.25.12</t>
  </si>
  <si>
    <t>26.30.23</t>
  </si>
  <si>
    <t>31.01.11</t>
  </si>
  <si>
    <t>25.99.22</t>
  </si>
  <si>
    <t>27.11.32</t>
  </si>
  <si>
    <t>19.20.26</t>
  </si>
  <si>
    <t>19.20.21</t>
  </si>
  <si>
    <t>20.41.31</t>
  </si>
  <si>
    <t>22.19.60</t>
  </si>
  <si>
    <t>25.94.11</t>
  </si>
  <si>
    <t>25.93.14</t>
  </si>
  <si>
    <t>25.73.20</t>
  </si>
  <si>
    <t>25.73.30</t>
  </si>
  <si>
    <t>25.71.11</t>
  </si>
  <si>
    <t>22.11.11</t>
  </si>
  <si>
    <t>27.51.25</t>
  </si>
  <si>
    <t>17.23.14</t>
  </si>
  <si>
    <t>17.23.13</t>
  </si>
  <si>
    <t>22.29.25</t>
  </si>
  <si>
    <t>25.99.23</t>
  </si>
  <si>
    <t>32.99.15</t>
  </si>
  <si>
    <t>17.23.12</t>
  </si>
  <si>
    <t>23.41.11</t>
  </si>
  <si>
    <t>27.40.22</t>
  </si>
  <si>
    <t>27.40.25</t>
  </si>
  <si>
    <t>27.11.42</t>
  </si>
  <si>
    <t>27.33.12</t>
  </si>
  <si>
    <t>27.32.14</t>
  </si>
  <si>
    <t>28.24.11</t>
  </si>
  <si>
    <t>23.64.10</t>
  </si>
  <si>
    <t>22.29.26</t>
  </si>
  <si>
    <t>22.29.29</t>
  </si>
  <si>
    <t>25.72.14</t>
  </si>
  <si>
    <t>25.73.40</t>
  </si>
  <si>
    <t>25.99.12</t>
  </si>
  <si>
    <t>22.29.22</t>
  </si>
  <si>
    <t>16.29.11</t>
  </si>
  <si>
    <t>33.12.16</t>
  </si>
  <si>
    <t>95.11.10</t>
  </si>
  <si>
    <t>62.02.20</t>
  </si>
  <si>
    <t>62.02.30</t>
  </si>
  <si>
    <t>33.12.19</t>
  </si>
  <si>
    <t>33.13.19</t>
  </si>
  <si>
    <t>45.20.30</t>
  </si>
  <si>
    <t>49.32.12</t>
  </si>
  <si>
    <t>65.12.21</t>
  </si>
  <si>
    <t>65.12.50</t>
  </si>
  <si>
    <t>65.12.12</t>
  </si>
  <si>
    <t>58.14.12</t>
  </si>
  <si>
    <t>37.00.11</t>
  </si>
  <si>
    <t>38.11.31</t>
  </si>
  <si>
    <t>63.99.10</t>
  </si>
  <si>
    <t>69.20.10</t>
  </si>
  <si>
    <t>69.10.16</t>
  </si>
  <si>
    <t>64.99.19</t>
  </si>
  <si>
    <t>58.11.12</t>
  </si>
  <si>
    <t>68.31.16</t>
  </si>
  <si>
    <t>85.59.19</t>
  </si>
  <si>
    <t>59.11.12</t>
  </si>
  <si>
    <t>18.12.19</t>
  </si>
  <si>
    <t>73.20.11</t>
  </si>
  <si>
    <t>73.20.12</t>
  </si>
  <si>
    <t>82.30.11</t>
  </si>
  <si>
    <t>61.10.11</t>
  </si>
  <si>
    <t>60.20.32</t>
  </si>
  <si>
    <t>61.20.42</t>
  </si>
  <si>
    <t>Услуги по дератизации и дезинсекции помещений</t>
  </si>
  <si>
    <t>81.29.13</t>
  </si>
  <si>
    <t>93.29.29</t>
  </si>
  <si>
    <t>58.11.19</t>
  </si>
  <si>
    <t>73.12.11</t>
  </si>
  <si>
    <t>96.09.19</t>
  </si>
  <si>
    <t>18.12.11</t>
  </si>
  <si>
    <t>18.12.14</t>
  </si>
  <si>
    <t>29.20.40</t>
  </si>
  <si>
    <t>80.10.12</t>
  </si>
  <si>
    <t>80.10.19</t>
  </si>
  <si>
    <t>71.20.14</t>
  </si>
  <si>
    <t>22.29.21</t>
  </si>
  <si>
    <t>18.14.10</t>
  </si>
  <si>
    <t>68.20.11</t>
  </si>
  <si>
    <t>69.10.19</t>
  </si>
  <si>
    <t>69.10.14</t>
  </si>
  <si>
    <t>81.21.10</t>
  </si>
  <si>
    <t>82.19.13</t>
  </si>
  <si>
    <t>49.41.19</t>
  </si>
  <si>
    <t>62.01.11</t>
  </si>
  <si>
    <t>66.12.11</t>
  </si>
  <si>
    <t>Услуги направленные на оздоровление сотрудников</t>
  </si>
  <si>
    <t>70.22.30</t>
  </si>
  <si>
    <t>66.19.10</t>
  </si>
  <si>
    <t>73.11.19</t>
  </si>
  <si>
    <t>84.11.11</t>
  </si>
  <si>
    <t>Услуги ЦИС</t>
  </si>
  <si>
    <t>63.12.10</t>
  </si>
  <si>
    <t xml:space="preserve">Услуги охранной сигнализации </t>
  </si>
  <si>
    <t>январь-март</t>
  </si>
  <si>
    <t>Авансовый платеж 30%, оставшаяся часть в течение 10 рабочих дней с момента подписания акта приема-передачи</t>
  </si>
  <si>
    <t>апрель-июнь</t>
  </si>
  <si>
    <t>26.20.21</t>
  </si>
  <si>
    <t>27.12.22</t>
  </si>
  <si>
    <t>комплект</t>
  </si>
  <si>
    <t>5 У</t>
  </si>
  <si>
    <t>6 У</t>
  </si>
  <si>
    <t>7 У</t>
  </si>
  <si>
    <t>8 У</t>
  </si>
  <si>
    <t>9 У</t>
  </si>
  <si>
    <t>10 У</t>
  </si>
  <si>
    <t>11 У</t>
  </si>
  <si>
    <t>12 У</t>
  </si>
  <si>
    <t>13 У</t>
  </si>
  <si>
    <t>14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</si>
  <si>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</si>
  <si>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</si>
  <si>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</si>
  <si>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</si>
  <si>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</si>
  <si>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</si>
  <si>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</si>
  <si>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</si>
  <si>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</si>
  <si>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</si>
  <si>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</si>
  <si>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</si>
  <si>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</si>
  <si>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</si>
  <si>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</si>
  <si>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</si>
  <si>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</si>
  <si>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</si>
  <si>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</si>
  <si>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</si>
  <si>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</si>
  <si>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</si>
  <si>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</si>
  <si>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</si>
  <si>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</si>
  <si>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</si>
  <si>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</si>
  <si>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</si>
  <si>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</si>
  <si>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</si>
  <si>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</si>
  <si>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</si>
  <si>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</si>
  <si>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</si>
  <si>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</si>
  <si>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</si>
  <si>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</si>
  <si>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</si>
  <si>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</si>
  <si>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</si>
  <si>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</si>
  <si>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</si>
  <si>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</si>
  <si>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</si>
  <si>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</si>
  <si>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</si>
  <si>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</si>
  <si>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</si>
  <si>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</si>
  <si>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</si>
  <si>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</si>
  <si>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</si>
  <si>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</si>
  <si>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</si>
  <si>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</si>
  <si>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</si>
  <si>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</si>
  <si>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</si>
  <si>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</si>
  <si>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</si>
  <si>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</si>
  <si>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</si>
  <si>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</si>
  <si>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</si>
  <si>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</si>
  <si>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</si>
  <si>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</si>
  <si>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</si>
  <si>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</si>
  <si>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</si>
  <si>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</si>
  <si>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</si>
  <si>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</si>
  <si>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</si>
  <si>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</si>
  <si>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</si>
  <si>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</si>
  <si>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</si>
  <si>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</si>
  <si>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</si>
  <si>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</si>
  <si>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</si>
  <si>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</si>
  <si>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</si>
  <si>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</si>
  <si>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</si>
  <si>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</si>
  <si>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</si>
  <si>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</si>
  <si>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</si>
  <si>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</si>
  <si>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</si>
  <si>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</si>
  <si>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</si>
  <si>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</si>
  <si>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</si>
  <si>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</si>
  <si>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</si>
  <si>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</si>
  <si>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</si>
  <si>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</si>
  <si>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</si>
  <si>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</si>
  <si>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</si>
  <si>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</si>
  <si>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</si>
  <si>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</si>
  <si>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</si>
  <si>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</si>
  <si>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</si>
  <si>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</si>
  <si>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</si>
  <si>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</si>
  <si>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</si>
  <si>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</si>
  <si>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</si>
  <si>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</si>
  <si>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</si>
  <si>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</si>
  <si>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</si>
  <si>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</si>
  <si>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</si>
  <si>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</si>
  <si>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</si>
  <si>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</si>
  <si>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</si>
  <si>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</si>
  <si>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</si>
  <si>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</si>
  <si>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</si>
  <si>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</si>
  <si>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</si>
  <si>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</si>
  <si>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</si>
  <si>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</si>
  <si>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</si>
  <si>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</si>
  <si>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</si>
  <si>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</si>
  <si>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</si>
  <si>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</si>
  <si>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</si>
  <si>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</si>
  <si>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</si>
  <si>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</si>
  <si>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</si>
  <si>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</si>
  <si>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</si>
  <si>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</si>
  <si>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</si>
  <si>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</si>
  <si>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</si>
  <si>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</si>
  <si>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</si>
  <si>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</si>
  <si>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</si>
  <si>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</si>
  <si>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</si>
  <si>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</si>
  <si>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</si>
  <si>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</si>
  <si>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</si>
  <si>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</si>
  <si>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</si>
  <si>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</si>
  <si>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</si>
  <si>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</si>
  <si>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</si>
  <si>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</si>
  <si>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</si>
  <si>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</si>
  <si>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</si>
  <si>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</si>
  <si>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</si>
  <si>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</si>
  <si>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195 У</t>
  </si>
  <si>
    <t>196 У</t>
  </si>
  <si>
    <t>197 У</t>
  </si>
  <si>
    <t>198 У</t>
  </si>
  <si>
    <t>199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</si>
  <si>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</si>
  <si>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</si>
  <si>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</si>
  <si>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</si>
  <si>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</si>
  <si>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</si>
  <si>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</si>
  <si>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</si>
  <si>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</si>
  <si>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</si>
  <si>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</si>
  <si>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</si>
  <si>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</si>
  <si>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</si>
  <si>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</si>
  <si>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</si>
  <si>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</si>
  <si>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</si>
  <si>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</si>
  <si>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</si>
  <si>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</si>
  <si>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</si>
  <si>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</si>
  <si>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</si>
  <si>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</si>
  <si>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</si>
  <si>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</si>
  <si>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</si>
  <si>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</si>
  <si>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</si>
  <si>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</si>
  <si>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</si>
  <si>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</si>
  <si>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</si>
  <si>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</si>
  <si>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</si>
  <si>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</si>
  <si>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</si>
  <si>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</si>
  <si>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</si>
  <si>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</si>
  <si>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</si>
  <si>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</si>
  <si>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</si>
  <si>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</si>
  <si>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</si>
  <si>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</si>
  <si>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</si>
  <si>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</si>
  <si>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</si>
  <si>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251 У</t>
  </si>
  <si>
    <t>252 У</t>
  </si>
  <si>
    <t>255 У</t>
  </si>
  <si>
    <t>256 У</t>
  </si>
  <si>
    <t>257 У</t>
  </si>
  <si>
    <t>258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</si>
  <si>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</si>
  <si>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</si>
  <si>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</si>
  <si>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</si>
  <si>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</si>
  <si>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</si>
  <si>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</si>
  <si>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</si>
  <si>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</si>
  <si>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</si>
  <si>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</si>
  <si>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</si>
  <si>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</si>
  <si>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</si>
  <si>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</si>
  <si>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</si>
  <si>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</si>
  <si>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</si>
  <si>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</si>
  <si>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</si>
  <si>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</si>
  <si>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</si>
  <si>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</si>
  <si>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</si>
  <si>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</si>
  <si>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</si>
  <si>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</si>
  <si>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</si>
  <si>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</si>
  <si>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</si>
  <si>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</si>
  <si>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</si>
  <si>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</si>
  <si>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</si>
  <si>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</si>
  <si>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</si>
  <si>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</si>
  <si>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</si>
  <si>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</si>
  <si>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</si>
  <si>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301 У</t>
  </si>
  <si>
    <t>302 У</t>
  </si>
  <si>
    <t>303 У</t>
  </si>
  <si>
    <t>304 У</t>
  </si>
  <si>
    <t>305 У</t>
  </si>
  <si>
    <t>306 У</t>
  </si>
  <si>
    <t>307 У</t>
  </si>
  <si>
    <t>308 У</t>
  </si>
  <si>
    <t>309 У</t>
  </si>
  <si>
    <t>310 У</t>
  </si>
  <si>
    <t>311 У</t>
  </si>
  <si>
    <t>312 У</t>
  </si>
  <si>
    <t>313 У</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</si>
  <si>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</si>
  <si>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</si>
  <si>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</si>
  <si>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</si>
  <si>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</si>
  <si>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</si>
  <si>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</si>
  <si>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</si>
  <si>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</si>
  <si>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</si>
  <si>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</si>
  <si>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</si>
  <si>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</si>
  <si>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</si>
  <si>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</si>
  <si>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</si>
  <si>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</si>
  <si>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</si>
  <si>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</si>
  <si>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</si>
  <si>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</si>
  <si>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</si>
  <si>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</si>
  <si>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</si>
  <si>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</si>
  <si>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</si>
  <si>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</si>
  <si>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</si>
  <si>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</si>
  <si>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</si>
  <si>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</si>
  <si>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</si>
  <si>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</si>
  <si>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</si>
  <si>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</si>
  <si>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</si>
  <si>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</si>
  <si>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</si>
  <si>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</si>
  <si>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</si>
  <si>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</si>
  <si>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</si>
  <si>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</si>
  <si>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</si>
  <si>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</si>
  <si>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</si>
  <si>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</si>
  <si>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</si>
  <si>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</si>
  <si>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</si>
  <si>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</si>
  <si>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</si>
  <si>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</si>
  <si>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</si>
  <si>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</si>
  <si>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</si>
  <si>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</si>
  <si>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</si>
  <si>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</si>
  <si>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</si>
  <si>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</si>
  <si>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</si>
  <si>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</si>
  <si>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</si>
  <si>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</si>
  <si>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</si>
  <si>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</si>
  <si>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</si>
  <si>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</si>
  <si>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</si>
  <si>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</si>
  <si>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</si>
  <si>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</si>
  <si>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</si>
  <si>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</si>
  <si>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</si>
  <si>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</si>
  <si>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</si>
  <si>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</si>
  <si>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</si>
  <si>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</si>
  <si>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</si>
  <si>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</si>
  <si>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</si>
  <si>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399 У</t>
  </si>
  <si>
    <t>400 У</t>
  </si>
  <si>
    <t>401 У</t>
  </si>
  <si>
    <t>402 У</t>
  </si>
  <si>
    <t>403 У</t>
  </si>
  <si>
    <t>404 У</t>
  </si>
  <si>
    <t>405 У</t>
  </si>
  <si>
    <t>406 У</t>
  </si>
  <si>
    <t>407 У</t>
  </si>
  <si>
    <t>408 У</t>
  </si>
  <si>
    <t>409 У</t>
  </si>
  <si>
    <t>410 У</t>
  </si>
  <si>
    <t>411 У</t>
  </si>
  <si>
    <t>412 У</t>
  </si>
  <si>
    <t>413 У</t>
  </si>
  <si>
    <t>414 У</t>
  </si>
  <si>
    <t>415 У</t>
  </si>
  <si>
    <t>416 У</t>
  </si>
  <si>
    <t>417 У</t>
  </si>
  <si>
    <t>418 У</t>
  </si>
  <si>
    <t>419 У</t>
  </si>
  <si>
    <t>420 У</t>
  </si>
  <si>
    <t>421 У</t>
  </si>
  <si>
    <t>422 У</t>
  </si>
  <si>
    <t>423 У</t>
  </si>
  <si>
    <t>424 У</t>
  </si>
  <si>
    <t>425 У</t>
  </si>
  <si>
    <t>426 У</t>
  </si>
  <si>
    <t>427 У</t>
  </si>
  <si>
    <t>428 У</t>
  </si>
  <si>
    <t>429 У</t>
  </si>
  <si>
    <t>430 У</t>
  </si>
  <si>
    <t>431 У</t>
  </si>
  <si>
    <t>433 У</t>
  </si>
  <si>
    <t>434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</si>
  <si>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</si>
  <si>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</si>
  <si>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</si>
  <si>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</si>
  <si>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</si>
  <si>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</si>
  <si>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</si>
  <si>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</si>
  <si>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</si>
  <si>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</si>
  <si>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</si>
  <si>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</si>
  <si>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</si>
  <si>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</si>
  <si>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</si>
  <si>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</si>
  <si>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</si>
  <si>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</si>
  <si>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</si>
  <si>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</si>
  <si>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</si>
  <si>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</si>
  <si>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</si>
  <si>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</si>
  <si>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</si>
  <si>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</si>
  <si>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</si>
  <si>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</si>
  <si>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</si>
  <si>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</si>
  <si>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</si>
  <si>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</si>
  <si>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</si>
  <si>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</si>
  <si>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</si>
  <si>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</si>
  <si>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</si>
  <si>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</si>
  <si>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</si>
  <si>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</si>
  <si>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</si>
  <si>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</si>
  <si>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</si>
  <si>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</si>
  <si>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</si>
  <si>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</si>
  <si>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</si>
  <si>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</si>
  <si>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</si>
  <si>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</si>
  <si>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</si>
  <si>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</si>
  <si>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</si>
  <si>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</si>
  <si>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</si>
  <si>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</si>
  <si>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</si>
  <si>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</si>
  <si>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</si>
  <si>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</si>
  <si>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</si>
  <si>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</si>
  <si>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</si>
  <si>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</si>
  <si>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</si>
  <si>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</si>
  <si>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</si>
  <si>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</si>
  <si>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1 Т</t>
  </si>
  <si>
    <t>3 Т</t>
  </si>
  <si>
    <t>4 Т</t>
  </si>
  <si>
    <t>5 Т</t>
  </si>
  <si>
    <t>6 Т</t>
  </si>
  <si>
    <t>7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</si>
  <si>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</si>
  <si>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</si>
  <si>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</si>
  <si>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</si>
  <si>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</si>
  <si>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</si>
  <si>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</si>
  <si>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</si>
  <si>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</si>
  <si>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</si>
  <si>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</si>
  <si>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</si>
  <si>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</si>
  <si>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</si>
  <si>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</si>
  <si>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</si>
  <si>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</si>
  <si>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</si>
  <si>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</si>
  <si>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</si>
  <si>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</si>
  <si>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</si>
  <si>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</si>
  <si>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</si>
  <si>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</si>
  <si>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</si>
  <si>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</si>
  <si>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</si>
  <si>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</si>
  <si>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</si>
  <si>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</si>
  <si>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</si>
  <si>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</si>
  <si>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</si>
  <si>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</si>
  <si>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</si>
  <si>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</si>
  <si>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</si>
  <si>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</si>
  <si>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</si>
  <si>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</si>
  <si>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</si>
  <si>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</si>
  <si>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</si>
  <si>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</si>
  <si>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</si>
  <si>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</si>
  <si>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</si>
  <si>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</si>
  <si>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</si>
  <si>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</si>
  <si>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</si>
  <si>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</si>
  <si>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</si>
  <si>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</si>
  <si>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</si>
  <si>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</si>
  <si>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</si>
  <si>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</si>
  <si>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</si>
  <si>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74 Т</t>
  </si>
  <si>
    <t>75 Т</t>
  </si>
  <si>
    <t>76 Т</t>
  </si>
  <si>
    <t>77 Т</t>
  </si>
  <si>
    <t>78 Т</t>
  </si>
  <si>
    <t>79 Т</t>
  </si>
  <si>
    <t>80 Т</t>
  </si>
  <si>
    <t>81 Т</t>
  </si>
  <si>
    <t>82 Т</t>
  </si>
  <si>
    <t>83 Т</t>
  </si>
  <si>
    <t>97 Т</t>
  </si>
  <si>
    <t>98 Т</t>
  </si>
  <si>
    <t>99 Т</t>
  </si>
  <si>
    <t>100 Т</t>
  </si>
  <si>
    <t>101 Т</t>
  </si>
  <si>
    <t>102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</si>
  <si>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</si>
  <si>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</si>
  <si>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</si>
  <si>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</si>
  <si>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</si>
  <si>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</si>
  <si>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</si>
  <si>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</si>
  <si>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</si>
  <si>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</si>
  <si>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</si>
  <si>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</si>
  <si>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</si>
  <si>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</si>
  <si>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</si>
  <si>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</si>
  <si>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</si>
  <si>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</si>
  <si>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</si>
  <si>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</si>
  <si>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</si>
  <si>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</si>
  <si>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</si>
  <si>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</si>
  <si>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</si>
  <si>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</si>
  <si>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</si>
  <si>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</si>
  <si>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</si>
  <si>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</si>
  <si>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</si>
  <si>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</si>
  <si>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</si>
  <si>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</si>
  <si>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</si>
  <si>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</si>
  <si>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</si>
  <si>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</si>
  <si>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</si>
  <si>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</si>
  <si>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</si>
  <si>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</si>
  <si>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</si>
  <si>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</si>
  <si>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</si>
  <si>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</si>
  <si>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</si>
  <si>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</si>
  <si>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</si>
  <si>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</si>
  <si>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</si>
  <si>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</si>
  <si>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</si>
  <si>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</si>
  <si>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</si>
  <si>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</si>
  <si>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</si>
  <si>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</si>
  <si>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</si>
  <si>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</si>
  <si>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</si>
  <si>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</si>
  <si>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</si>
  <si>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</si>
  <si>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</si>
  <si>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</si>
  <si>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</si>
  <si>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</si>
  <si>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</si>
  <si>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</si>
  <si>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</si>
  <si>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</si>
  <si>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</si>
  <si>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</si>
  <si>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</si>
  <si>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</si>
  <si>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</si>
  <si>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</si>
  <si>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</si>
  <si>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</si>
  <si>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</si>
  <si>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</si>
  <si>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</si>
  <si>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</si>
  <si>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</si>
  <si>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</si>
  <si>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</si>
  <si>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</si>
  <si>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</si>
  <si>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</si>
  <si>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</si>
  <si>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</si>
  <si>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</si>
  <si>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</si>
  <si>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</si>
  <si>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</si>
  <si>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</si>
  <si>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</si>
  <si>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</si>
  <si>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</si>
  <si>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</si>
  <si>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</si>
  <si>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</si>
  <si>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</si>
  <si>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</si>
  <si>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</si>
  <si>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</si>
  <si>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</si>
  <si>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</si>
  <si>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</si>
  <si>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</si>
  <si>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</si>
  <si>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</si>
  <si>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</si>
  <si>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</si>
  <si>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</si>
  <si>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</si>
  <si>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</si>
  <si>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</si>
  <si>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</si>
  <si>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</si>
  <si>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</si>
  <si>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</si>
  <si>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</si>
  <si>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</si>
  <si>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</si>
  <si>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</si>
  <si>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</si>
  <si>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</si>
  <si>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</si>
  <si>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</si>
  <si>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</si>
  <si>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</si>
  <si>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</si>
  <si>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</si>
  <si>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</si>
  <si>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</si>
  <si>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</si>
  <si>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</si>
  <si>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</si>
  <si>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</si>
  <si>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</si>
  <si>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</si>
  <si>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</si>
  <si>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</si>
  <si>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</si>
  <si>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</si>
  <si>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</si>
  <si>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</si>
  <si>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</si>
  <si>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</si>
  <si>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</si>
  <si>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</si>
  <si>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</si>
  <si>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</si>
  <si>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</si>
  <si>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</si>
  <si>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</si>
  <si>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</si>
  <si>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</si>
  <si>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</si>
  <si>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</si>
  <si>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</si>
  <si>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</si>
  <si>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</si>
  <si>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</si>
  <si>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</si>
  <si>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</si>
  <si>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</si>
  <si>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</si>
  <si>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</si>
  <si>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</si>
  <si>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</si>
  <si>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</si>
  <si>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</si>
  <si>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</si>
  <si>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</si>
  <si>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</si>
  <si>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</si>
  <si>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</si>
  <si>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</si>
  <si>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</si>
  <si>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</si>
  <si>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</si>
  <si>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</si>
  <si>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</si>
  <si>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</si>
  <si>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</si>
  <si>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</si>
  <si>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</si>
  <si>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</si>
  <si>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</si>
  <si>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</si>
  <si>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</si>
  <si>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</si>
  <si>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</si>
  <si>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</si>
  <si>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</si>
  <si>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</si>
  <si>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</si>
  <si>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</si>
  <si>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</si>
  <si>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</si>
  <si>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</si>
  <si>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</si>
  <si>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</si>
  <si>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</si>
  <si>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</si>
  <si>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</si>
  <si>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</si>
  <si>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</si>
  <si>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</si>
  <si>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</si>
  <si>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</si>
  <si>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</si>
  <si>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</si>
  <si>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</si>
  <si>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</si>
  <si>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</si>
  <si>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</si>
  <si>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</si>
  <si>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</si>
  <si>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</si>
  <si>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</si>
  <si>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</si>
  <si>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</si>
  <si>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</si>
  <si>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</si>
  <si>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</si>
  <si>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</si>
  <si>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</si>
  <si>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</si>
  <si>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</si>
  <si>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</si>
  <si>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</si>
  <si>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</si>
  <si>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</si>
  <si>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</si>
  <si>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</si>
  <si>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</si>
  <si>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</si>
  <si>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</si>
  <si>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</si>
  <si>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</si>
  <si>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</si>
  <si>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</si>
  <si>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</si>
  <si>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</si>
  <si>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</si>
  <si>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</si>
  <si>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</si>
  <si>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</si>
  <si>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</si>
  <si>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</si>
  <si>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</si>
  <si>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</si>
  <si>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</si>
  <si>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</si>
  <si>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</si>
  <si>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</si>
  <si>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</si>
  <si>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</si>
  <si>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</si>
  <si>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</si>
  <si>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</si>
  <si>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</si>
  <si>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</si>
  <si>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</si>
  <si>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</si>
  <si>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</si>
  <si>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</si>
  <si>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</si>
  <si>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</si>
  <si>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</si>
  <si>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</si>
  <si>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</si>
  <si>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</si>
  <si>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</si>
  <si>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</si>
  <si>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</si>
  <si>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</si>
  <si>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</si>
  <si>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</si>
  <si>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</si>
  <si>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</si>
  <si>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</si>
  <si>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</si>
  <si>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</si>
  <si>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</si>
  <si>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</si>
  <si>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</si>
  <si>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</si>
  <si>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</si>
  <si>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</si>
  <si>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</si>
  <si>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</si>
  <si>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</si>
  <si>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</si>
  <si>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</si>
  <si>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</si>
  <si>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</si>
  <si>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</si>
  <si>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</si>
  <si>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</si>
  <si>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</si>
  <si>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</si>
  <si>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</si>
  <si>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</si>
  <si>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</si>
  <si>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</si>
  <si>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</si>
  <si>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</si>
  <si>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</si>
  <si>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</si>
  <si>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</si>
  <si>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</si>
  <si>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</si>
  <si>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</si>
  <si>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</si>
  <si>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</si>
  <si>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</si>
  <si>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</si>
  <si>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</si>
  <si>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</si>
  <si>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</si>
  <si>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</si>
  <si>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</si>
  <si>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</si>
  <si>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</si>
  <si>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</si>
  <si>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</si>
  <si>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</si>
  <si>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</si>
  <si>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</si>
  <si>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</si>
  <si>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</si>
  <si>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</si>
  <si>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</si>
  <si>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</si>
  <si>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</si>
  <si>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</si>
  <si>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</si>
  <si>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</si>
  <si>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</si>
  <si>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</si>
  <si>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</si>
  <si>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</si>
  <si>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</si>
  <si>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</si>
  <si>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</si>
  <si>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</si>
  <si>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</si>
  <si>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</si>
  <si>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</si>
  <si>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</si>
  <si>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</si>
  <si>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</si>
  <si>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</si>
  <si>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</si>
  <si>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</si>
  <si>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</si>
  <si>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</si>
  <si>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</si>
  <si>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</si>
  <si>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</si>
  <si>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</si>
  <si>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</si>
  <si>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</si>
  <si>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</si>
  <si>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</si>
  <si>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</si>
  <si>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</si>
  <si>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</si>
  <si>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</si>
  <si>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</si>
  <si>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</si>
  <si>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</si>
  <si>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</si>
  <si>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</si>
  <si>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</si>
  <si>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</si>
  <si>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</si>
  <si>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</si>
  <si>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</si>
  <si>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</si>
  <si>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</si>
  <si>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</si>
  <si>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</si>
  <si>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</si>
  <si>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</si>
  <si>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</si>
  <si>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</si>
  <si>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</si>
  <si>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</si>
  <si>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</si>
  <si>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</si>
  <si>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</si>
  <si>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</si>
  <si>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</si>
  <si>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</si>
  <si>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</si>
  <si>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</si>
  <si>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</si>
  <si>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</si>
  <si>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</si>
  <si>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</si>
  <si>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</si>
  <si>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</si>
  <si>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</si>
  <si>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</si>
  <si>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</si>
  <si>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</si>
  <si>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</si>
  <si>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</si>
  <si>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</si>
  <si>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</si>
  <si>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</si>
  <si>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</si>
  <si>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</si>
  <si>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</si>
  <si>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</si>
  <si>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</si>
  <si>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</si>
  <si>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</si>
  <si>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</si>
  <si>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</si>
  <si>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</si>
  <si>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</si>
  <si>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</si>
  <si>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</si>
  <si>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</si>
  <si>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</si>
  <si>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</si>
  <si>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</si>
  <si>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</si>
  <si>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</si>
  <si>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</si>
  <si>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</si>
  <si>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</si>
  <si>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</si>
  <si>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</si>
  <si>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</si>
  <si>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</si>
  <si>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</si>
  <si>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</si>
  <si>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</si>
  <si>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</si>
  <si>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</si>
  <si>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</si>
  <si>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</si>
  <si>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</si>
  <si>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</si>
  <si>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</si>
  <si>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</si>
  <si>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</si>
  <si>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</si>
  <si>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</si>
  <si>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</si>
  <si>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</si>
  <si>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</si>
  <si>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</si>
  <si>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</si>
  <si>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</si>
  <si>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</si>
  <si>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</si>
  <si>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</si>
  <si>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</si>
  <si>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</si>
  <si>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</si>
  <si>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</si>
  <si>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</si>
  <si>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</si>
  <si>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</si>
  <si>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</si>
  <si>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</si>
  <si>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</si>
  <si>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</si>
  <si>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</si>
  <si>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</si>
  <si>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</si>
  <si>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</si>
  <si>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</si>
  <si>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</si>
  <si>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</si>
  <si>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</si>
  <si>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</si>
  <si>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</si>
  <si>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</si>
  <si>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</si>
  <si>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</si>
  <si>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</si>
  <si>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</si>
  <si>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</si>
  <si>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</si>
  <si>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</si>
  <si>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</si>
  <si>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</si>
  <si>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619 Т</t>
  </si>
  <si>
    <t>621 Т</t>
  </si>
  <si>
    <t>622 Т</t>
  </si>
  <si>
    <t>623 Т</t>
  </si>
  <si>
    <t>624 Т</t>
  </si>
  <si>
    <t>625 Т</t>
  </si>
  <si>
    <t>626 Т</t>
  </si>
  <si>
    <t>627 Т</t>
  </si>
  <si>
    <t>628 Т</t>
  </si>
  <si>
    <t>629 Т</t>
  </si>
  <si>
    <t>630 Т</t>
  </si>
  <si>
    <t>631 Т</t>
  </si>
  <si>
    <t>632 Т</t>
  </si>
  <si>
    <t>633 Т</t>
  </si>
  <si>
    <t>634 Т</t>
  </si>
  <si>
    <t>635 Т</t>
  </si>
  <si>
    <t>636 Т</t>
  </si>
  <si>
    <t>637 Т</t>
  </si>
  <si>
    <t>018</t>
  </si>
  <si>
    <t>литр</t>
  </si>
  <si>
    <t>пачка</t>
  </si>
  <si>
    <t>рулон</t>
  </si>
  <si>
    <t>набор</t>
  </si>
  <si>
    <t>филиал по г.Алматы</t>
  </si>
  <si>
    <t>Бумага для факса, в рулонах</t>
  </si>
  <si>
    <t>Клей жидкий, клей-карандаш 15 гр., 21 гр.,25 гр.</t>
  </si>
  <si>
    <t>Маркер текстовой, цвет разный</t>
  </si>
  <si>
    <t>Прозрачные, формата А4</t>
  </si>
  <si>
    <t>Регистратор 5 см, 8 см</t>
  </si>
  <si>
    <t>Скоросшиватель пластиковый</t>
  </si>
  <si>
    <t>Скотч прозрачный 12,15-48 мм.</t>
  </si>
  <si>
    <t>Скрепки  18-50 мм</t>
  </si>
  <si>
    <t>Скобы 10, 24/6</t>
  </si>
  <si>
    <t>Cтеплер 10, 24/6</t>
  </si>
  <si>
    <t>Штрих</t>
  </si>
  <si>
    <t>Ручки шариковые, гелиевые</t>
  </si>
  <si>
    <t>Карандаши простые</t>
  </si>
  <si>
    <t>91х87, белая, цветная</t>
  </si>
  <si>
    <t>16-разрядный</t>
  </si>
  <si>
    <t>19 - 41 мм.</t>
  </si>
  <si>
    <t>Форматы А4,А5,А6</t>
  </si>
  <si>
    <t>Настольный кацелярский набор</t>
  </si>
  <si>
    <t>Закладки разноцветные</t>
  </si>
  <si>
    <t>Регулировка дверей, ремонт кабины, двигателя и т.д.</t>
  </si>
  <si>
    <t>Мойка автомашин,химчистка, полировка</t>
  </si>
  <si>
    <t>Ежегодный техосмотр автотранспорта</t>
  </si>
  <si>
    <t>Ремонт,техобслуживание, замена масел и т.д.</t>
  </si>
  <si>
    <t>Услуги охраны автотранспотра</t>
  </si>
  <si>
    <t>февраль</t>
  </si>
  <si>
    <t>апрель</t>
  </si>
  <si>
    <t>март</t>
  </si>
  <si>
    <t xml:space="preserve"> май</t>
  </si>
  <si>
    <t xml:space="preserve">Проведение регламентного обслуживания и ремонтных работ системы охранной сигнализации в здании по адресу: г. Алматы, ул. Гоголя, 111 </t>
  </si>
  <si>
    <t>Проведение регламентного обслуживания и ремонтных работ системы видеонаблюдения в здании по адресу: г. Алматы, ул. Гоголя, 111</t>
  </si>
  <si>
    <t>январь</t>
  </si>
  <si>
    <t>авансовый платеж - 0%, оставшаяся часть в течение 10 рабочих дней с момента подписания акта оказанных услуг</t>
  </si>
  <si>
    <t>Охрана и организация контрольно-пропускного режима в здание Фонда по адресу: г. Алматы, ул. Гоголя, 111</t>
  </si>
  <si>
    <t>февраль-март</t>
  </si>
  <si>
    <t>Услуги по предоставлению подтверждений регистрационных  данных физ. лиц по г. Алматы</t>
  </si>
  <si>
    <t>Услуги по предоставлению кредитных отчетов</t>
  </si>
  <si>
    <t>авансовый платеж - 0%, оставшаяся часть в течение 5 рабочих дней с момента подписания акта оказанных услуг</t>
  </si>
  <si>
    <t>авансовый платеж - 0%, оставшаяся часть в течение 10 рабочих дней с момента подписания промежуточных актов оказанных услуг</t>
  </si>
  <si>
    <t>Базовая и поддерживающая уборка  (6 дней в неделю), генеральная уборка (ежемесячно)</t>
  </si>
  <si>
    <t>Аренда офисных помещений для региональных филиалов</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</si>
  <si>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</si>
  <si>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</si>
  <si>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</si>
  <si>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</si>
  <si>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</si>
  <si>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Оплата за связь с филиалами.</t>
  </si>
  <si>
    <t>Подключение к корп. сети. В случае переезда филиала.</t>
  </si>
  <si>
    <t xml:space="preserve">авансовый платеж - 0% , оставшаяся часть до 15 числа следующего месяца </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</si>
  <si>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</si>
  <si>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</si>
  <si>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</si>
  <si>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 xml:space="preserve">авансовый платеж - 0% , оставшаяся часть до последнего  числа следующего месяца </t>
  </si>
  <si>
    <t>авансовый платеж - 100% в течение 10 рабочих дней с момента выставления счета на оплату</t>
  </si>
  <si>
    <t>авансовый платеж - 0%, оставшаяся часть в течение 10 рабочих дней с момента выставления счета на оплату</t>
  </si>
  <si>
    <t>прием и отправка почтовых отправлений, продажа конвертов, открыток и гос.знаков почтовой оплаты</t>
  </si>
  <si>
    <t>прием, перевозка и доставка отправлений важного и срочного характера</t>
  </si>
  <si>
    <t>авансовый платеж в размере предполагаемого объема оказываемых услуг</t>
  </si>
  <si>
    <t xml:space="preserve">авансовый платеж - 0%, оставшаяся часть не позднее 10-го числа следующего месяца </t>
  </si>
  <si>
    <t>авансовый платеж - 0%, оставшаяся часть в течении 10 рабочих дней с момента выставления счета на оплату</t>
  </si>
  <si>
    <t>авансовый платеж - 0%, оставшаяся часть в течении 20 рабочих дней с момента выставления счета на оплату</t>
  </si>
  <si>
    <t>авансовый платеж - 0%, оставшаяся часть в течении 5 рабочих дней с момента подписания акта оказанных услуг</t>
  </si>
  <si>
    <t>Охрана объекта с передачей сигнала на пульт централизованного наблюдения</t>
  </si>
  <si>
    <t>авансовый платеж - 0%, оставшаяся часть в течении 10 рабочих дней с момента подписания акта оказанных услуг</t>
  </si>
  <si>
    <t>май-июнь</t>
  </si>
  <si>
    <t>апрель-май</t>
  </si>
  <si>
    <t>январь-февраль</t>
  </si>
  <si>
    <t>Визитки двухсторонние, цветность 4+4</t>
  </si>
  <si>
    <t>дверные таблички размером 25 х 25 на виниле с багетом</t>
  </si>
  <si>
    <t>штампы, печати, факсимиле на оснастке</t>
  </si>
  <si>
    <t>Фирменные бланки для ГО и РФ, формат А4, бумага Колотек, цветность 4+0.</t>
  </si>
  <si>
    <t>авансовый платеж - 30%, оставшаяся часть в течение 10 рабочих дней с момента подписания акта оказанных услуг</t>
  </si>
  <si>
    <t>Услуги по обслуживанию системы электронного контроля доступа</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</si>
  <si>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</si>
  <si>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Комплекты информационной системы "Параграф"</t>
  </si>
  <si>
    <t xml:space="preserve">авансовый платеж - 100% </t>
  </si>
  <si>
    <t>Представительство в судах и иных правоохранительных государственных органах</t>
  </si>
  <si>
    <t>Независимая юридическая экспертиза, юридические консультации</t>
  </si>
  <si>
    <t>авансовый платеж 50%, оставшаяся часть в течение в течение 10 рабочих дней с момента подписания акта об оказанных услугах</t>
  </si>
  <si>
    <t>авнсовый платеж 50%, оставшаяся часть в течение в течение 10 рабочих дней с момента подписания акта об оказанных услугах</t>
  </si>
  <si>
    <t>Замена комплектующих частей компьютерного оборудования</t>
  </si>
  <si>
    <t>Замена вышедших из строя составных частей компьютерного оборудования</t>
  </si>
  <si>
    <t>Gamatronic 20 кВа и 60 кВа</t>
  </si>
  <si>
    <t>Кондиционеры подпотолочного типа Daikin FHQ 125B и Libert Hiross HPM S12OA</t>
  </si>
  <si>
    <t>Продление лицензии на Антивирусное программное обеспечение</t>
  </si>
  <si>
    <t>Домены fund.kz, damu.kz, dkb2020.kz, fund-damu.kz и т.д.</t>
  </si>
  <si>
    <t>Поддержка PHP, доступ по FTP</t>
  </si>
  <si>
    <t>Авансовый платеж 100%</t>
  </si>
  <si>
    <t>Обработка помещений от грызунов и насекомых</t>
  </si>
  <si>
    <t>Оперативные данные Агентства по статистике</t>
  </si>
  <si>
    <t xml:space="preserve"> Выдача справок об обременении движимого и недвижимого имущества</t>
  </si>
  <si>
    <t>Аудит финансовой отчетности Фонда</t>
  </si>
  <si>
    <t>Специализированная литература для библиотеки Фонда</t>
  </si>
  <si>
    <t>Подписка на газеты и журналы</t>
  </si>
  <si>
    <t>Нотариальные услуги</t>
  </si>
  <si>
    <t>Обязательное страхование гражданско-правовой ответственности работодателя</t>
  </si>
  <si>
    <t>Услуги по страхованию ГПО, добровольное и обязательное.</t>
  </si>
  <si>
    <t xml:space="preserve">Услуги ЦОН Департамента Юстиции </t>
  </si>
  <si>
    <t>Услуги  охраны здания головного офиса</t>
  </si>
  <si>
    <t>Размещение рекламы, объявлений о проведении торгов, семинаров, конференций</t>
  </si>
  <si>
    <t xml:space="preserve">Авансовый платеж 100% </t>
  </si>
  <si>
    <t>Авансовый платеж 0%, оставшаяся часть в течение 10 рабочих дней с момента подписания акта приема-передачи</t>
  </si>
  <si>
    <t>размер шин 235/65R17</t>
  </si>
  <si>
    <t>Бензин АИ-95,96</t>
  </si>
  <si>
    <t xml:space="preserve">Корректирующая лента </t>
  </si>
  <si>
    <t>Бензин АИ-92,93</t>
  </si>
  <si>
    <t>61.10.12</t>
  </si>
  <si>
    <t xml:space="preserve">Доступ к сети Интернет </t>
  </si>
  <si>
    <t>Тумба мобильная</t>
  </si>
  <si>
    <t>Услуги по организации круглых столов, семинаров, тренингов</t>
  </si>
  <si>
    <t>авансовый платеж - 100%</t>
  </si>
  <si>
    <t>март-апрель</t>
  </si>
  <si>
    <t>Каркас - пластик, обивка - ткань гобелен</t>
  </si>
  <si>
    <t>Среднего размера, 900*460*1600</t>
  </si>
  <si>
    <t>Черный каркас, с одним мягким элементом</t>
  </si>
  <si>
    <t>420*560*590, на роликах</t>
  </si>
  <si>
    <t>3-х уровневой секретности, встроенный электронный сенсор, сетчатая корзина</t>
  </si>
  <si>
    <t>Н2500*D1200*L1000mm, 4 стойки</t>
  </si>
  <si>
    <t>октябрь-ноябрь</t>
  </si>
  <si>
    <t>ЛН-40, 25-60 вт</t>
  </si>
  <si>
    <t>июнь-июль</t>
  </si>
  <si>
    <t>сентябрь-октябрь</t>
  </si>
  <si>
    <t>октябрь-декабрь</t>
  </si>
  <si>
    <t>Вода питьевая</t>
  </si>
  <si>
    <t>Питьевая, в бут. 19,8 л</t>
  </si>
  <si>
    <t>Заправка фреоном, замена вышедших из строя деталей</t>
  </si>
  <si>
    <t>доступ к порталу  "Маркетинг в закупках ТРУ организации АО "Самрук-Казына"</t>
  </si>
  <si>
    <t>Услуги по предоставлению доступа к порталу "Маркетинг в закупках ТРУ организации АО "Самрук-Казына"</t>
  </si>
  <si>
    <t xml:space="preserve">Доставка ж/д и авиа транспортом грузов от двери до двери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</si>
  <si>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</si>
  <si>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Авансовый платеж 30%, оставшаяся часть в течение 10 рабочих дней с момента подписания акта оказанных услуг</t>
  </si>
  <si>
    <t>Услуги по редактированию, переводу, верстке, печати и тиражированию книги на основе аналитических материалов по МСБ.</t>
  </si>
  <si>
    <t>Сбор и обработка актуальной внешней статистической информации по мере публикации и ее добавление в базу данных ГИС Фонда "Даму"</t>
  </si>
  <si>
    <t>авансовый платеж 100%</t>
  </si>
  <si>
    <t xml:space="preserve">Разработка и выпуск брендированной фирменной корпоративной продукции </t>
  </si>
  <si>
    <t>ноябрь-декабрь</t>
  </si>
  <si>
    <t>Организация и проведение пресс-конференций</t>
  </si>
  <si>
    <t>апрель-май, август-сентябрь</t>
  </si>
  <si>
    <t>Аренда помещений, организация кофе-брейков, обедов, услуги сурдопереводчика</t>
  </si>
  <si>
    <t>подготовка, переподготовка, повышение квалификации работников</t>
  </si>
  <si>
    <t>Расходы на повышение квалификации работников</t>
  </si>
  <si>
    <t>Оплата услуг сторожей, стоянки и др. расходы по охране залогового имущества</t>
  </si>
  <si>
    <t>Независимая оценка стоимости залогового имущества</t>
  </si>
  <si>
    <t>Проведение опроса целевой группы населения, сбор, обработка, анализ данных, продготовка отчета по результатм исследования</t>
  </si>
  <si>
    <t>сентябрь-декабрь</t>
  </si>
  <si>
    <t xml:space="preserve">Отбор  лекторов   для  обучения их на мастер-классе в Алматы  и дальнейшего проведения ими обучающих семинаров </t>
  </si>
  <si>
    <t xml:space="preserve">Обучение отобранных лекторов из 16 областей по различным темам предпринимательства </t>
  </si>
  <si>
    <t>Изготовление раздаточных материалов  для предоставления слушателям обучающих семинаров</t>
  </si>
  <si>
    <t>авансовый платеж - 30%, оставшаяся часть в течение 10 рабочих дней с момента подписания  акта оказанных услуг</t>
  </si>
  <si>
    <t>Аренда автотранспорта для  перевозки лекторов, необходимого оборудования, раздаточных материалов по районам области</t>
  </si>
  <si>
    <t>Размещение объявлений о закупках в республиканских периодических изданиях выходящих не менее 3-х раз в неделю</t>
  </si>
  <si>
    <t>Объявления общего характера  о проведении  конференций, фин.отчетность и т.д.</t>
  </si>
  <si>
    <t>авансовый платеж - 50%, оставшаяся часть в течение 10 рабочих дней с момента подписания  акта оказанных услуг</t>
  </si>
  <si>
    <t>Услуги по изготовлению фальгированных открыток с золотой надписью</t>
  </si>
  <si>
    <t>Услуги по автоматизации составления и заполнения планов закупок</t>
  </si>
  <si>
    <t xml:space="preserve">Услуги по оценке </t>
  </si>
  <si>
    <t>Независимая оценка стоимости залогового имущества, основных средств и нематериальных активов</t>
  </si>
  <si>
    <t>Март, май, июль, август, октябрь, ноябрь, декабрь</t>
  </si>
  <si>
    <t xml:space="preserve">авансовый платеж - 100%,  </t>
  </si>
  <si>
    <t>ремонт и техобслуживание ОС и НМА, заправка картриджей и т.д.</t>
  </si>
  <si>
    <t>Реклама о деятельности Фонда на телевидении и радио в регионах</t>
  </si>
  <si>
    <t>авансовый платеж - 30%, оставшаяся часть в течение 10 рабочих дней с момента подписания актов оказанных услуг</t>
  </si>
  <si>
    <t>Информация по корпоративным иммитентам казахстанской фондовой</t>
  </si>
  <si>
    <t xml:space="preserve">авансовый платеж 100 % </t>
  </si>
  <si>
    <t xml:space="preserve">Подготовка рекламных материалов, освещающих текущую деятельность Фонда, реализуемых проектов и программ; </t>
  </si>
  <si>
    <t>Услуги телефонной связи, междугородних переговоров,  установка дополнительных телефонных линий</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</si>
  <si>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</si>
  <si>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</si>
  <si>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</si>
  <si>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27.51.24</t>
  </si>
  <si>
    <t xml:space="preserve">авансовый платеж - 100%, </t>
  </si>
  <si>
    <t>Услуги по аренде сейфовых ячеек</t>
  </si>
  <si>
    <t>Аренда сейфовых ячеек в банках для хранения документов</t>
  </si>
  <si>
    <t>58.13.31</t>
  </si>
  <si>
    <t>с февраля по 31.12.2011г.</t>
  </si>
  <si>
    <t>Изготовление пресс-наборов для представителей СМИ</t>
  </si>
  <si>
    <t>64.11.10</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</si>
  <si>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</si>
  <si>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93.13.10</t>
  </si>
  <si>
    <t>62.09.20</t>
  </si>
  <si>
    <t>70.22.17</t>
  </si>
  <si>
    <t>Техническая поддержка CRM системы</t>
  </si>
  <si>
    <t xml:space="preserve">Конфигурирование, добавление функционала </t>
  </si>
  <si>
    <t xml:space="preserve">Представительские услуги, связанные со встречей и приемом официальных делегаций..   </t>
  </si>
  <si>
    <t>70.22.20</t>
  </si>
  <si>
    <t xml:space="preserve"> г.Астана</t>
  </si>
  <si>
    <t>Техобслуживание и ремонт  бытовых кондиционеров</t>
  </si>
  <si>
    <t xml:space="preserve">г. Алматы </t>
  </si>
  <si>
    <t>Мониторинг выхода информации о Фонде в СМИ (пресс-досье)</t>
  </si>
  <si>
    <t>На пяти роликах, покрытие гобелен</t>
  </si>
  <si>
    <t>январь,март,май,июль,сентябрь,ноябрь</t>
  </si>
  <si>
    <t>Поиск, подбор , обучение персонала, создание и поддержка операторских скриптов, оптимизация маршрутизаци вызовов и т.д.</t>
  </si>
  <si>
    <t>3.Услуги</t>
  </si>
  <si>
    <t>84 Т</t>
  </si>
  <si>
    <t>85 Т</t>
  </si>
  <si>
    <t>86 Т</t>
  </si>
  <si>
    <t>87 Т</t>
  </si>
  <si>
    <t>88 Т</t>
  </si>
  <si>
    <t>89 Т</t>
  </si>
  <si>
    <t>90 Т</t>
  </si>
  <si>
    <t>91 Т</t>
  </si>
  <si>
    <t>92 Т</t>
  </si>
  <si>
    <t>93 Т</t>
  </si>
  <si>
    <t>94 Т</t>
  </si>
  <si>
    <t>95 Т</t>
  </si>
  <si>
    <t>96 Т</t>
  </si>
  <si>
    <t>103 Т</t>
  </si>
  <si>
    <t>104 Т</t>
  </si>
  <si>
    <t>105 Т</t>
  </si>
  <si>
    <t>250 Т</t>
  </si>
  <si>
    <t>310 Т</t>
  </si>
  <si>
    <t>332 Т</t>
  </si>
  <si>
    <t>354 Т</t>
  </si>
  <si>
    <t>376 Т</t>
  </si>
  <si>
    <t>398 Т</t>
  </si>
  <si>
    <t>420 Т</t>
  </si>
  <si>
    <t>442 Т</t>
  </si>
  <si>
    <t>464 Т</t>
  </si>
  <si>
    <t>486 Т</t>
  </si>
  <si>
    <t>508 Т</t>
  </si>
  <si>
    <t>530 Т</t>
  </si>
  <si>
    <t>552 Т</t>
  </si>
  <si>
    <t>574 Т</t>
  </si>
  <si>
    <t>596 Т</t>
  </si>
  <si>
    <t>618 Т</t>
  </si>
  <si>
    <t>15 У</t>
  </si>
  <si>
    <t>44 У</t>
  </si>
  <si>
    <t>45 У</t>
  </si>
  <si>
    <t>46 У</t>
  </si>
  <si>
    <t>172 У</t>
  </si>
  <si>
    <t>250 У</t>
  </si>
  <si>
    <t>259 У</t>
  </si>
  <si>
    <t>278 У</t>
  </si>
  <si>
    <t>398 У</t>
  </si>
  <si>
    <t>432 У</t>
  </si>
  <si>
    <t>Услуги аутсорсинга для функционирования Центров поддержки предпринимательства</t>
  </si>
  <si>
    <t xml:space="preserve">Услуги прикладных маркетинговых исследований в приоритетных  отраслях  регионов </t>
  </si>
  <si>
    <t>Авансовый платеж 0%, оставшаяся часть в течение 10 рабочих дней с момента подписания акта оказанных услуг</t>
  </si>
  <si>
    <t>ЮКО, г. Сарыагаш</t>
  </si>
  <si>
    <t>29.20.41</t>
  </si>
  <si>
    <t>58.14.13</t>
  </si>
  <si>
    <t>503 У</t>
  </si>
  <si>
    <t>504 У</t>
  </si>
  <si>
    <t>505 У</t>
  </si>
  <si>
    <t>506 У</t>
  </si>
  <si>
    <t>507 У</t>
  </si>
  <si>
    <t>508 У</t>
  </si>
  <si>
    <t>январь,февраль,март,май,июль,сентябрь,ноябрь</t>
  </si>
  <si>
    <t>июль-август</t>
  </si>
  <si>
    <t>638 Т</t>
  </si>
  <si>
    <t>639 Т</t>
  </si>
  <si>
    <t>640 Т</t>
  </si>
  <si>
    <t>авансовый платеж - 0%, оставшаяся часть в течение 10 рабочих дней с момента подписания  акта оказанных услуг</t>
  </si>
  <si>
    <t>509 У</t>
  </si>
  <si>
    <t>510 У</t>
  </si>
  <si>
    <t>511 У</t>
  </si>
  <si>
    <t>56.30.10</t>
  </si>
  <si>
    <t>Услуги по организация кофе-брейка</t>
  </si>
  <si>
    <t>512 У</t>
  </si>
  <si>
    <t>513 У</t>
  </si>
  <si>
    <t>514 У</t>
  </si>
  <si>
    <t>515 У</t>
  </si>
  <si>
    <t>516 У</t>
  </si>
  <si>
    <t>517 У</t>
  </si>
  <si>
    <t>518 У</t>
  </si>
  <si>
    <t>519 У</t>
  </si>
  <si>
    <t>520 У</t>
  </si>
  <si>
    <t>521 У</t>
  </si>
  <si>
    <t>522 У</t>
  </si>
  <si>
    <t>523 У</t>
  </si>
  <si>
    <t>524 У</t>
  </si>
  <si>
    <t>525 У</t>
  </si>
  <si>
    <t>526 У</t>
  </si>
  <si>
    <t>55.10.10</t>
  </si>
  <si>
    <t>Услуги по организации выездного заседания Общественного Совета Фонда</t>
  </si>
  <si>
    <t>июнь-август, сентябрь-декабрь</t>
  </si>
  <si>
    <t>май-июнь, август-сентябрь</t>
  </si>
  <si>
    <t>253 У</t>
  </si>
  <si>
    <t>82.19.11</t>
  </si>
  <si>
    <t>Копировальные услуги</t>
  </si>
  <si>
    <t>копирование и переплет документов</t>
  </si>
  <si>
    <t>254 У</t>
  </si>
  <si>
    <t>641 Т</t>
  </si>
  <si>
    <t>642 Т</t>
  </si>
  <si>
    <t>643 Т</t>
  </si>
  <si>
    <t>644 Т</t>
  </si>
  <si>
    <t>645 Т</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</si>
  <si>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</si>
  <si>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</si>
  <si>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</si>
  <si>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 xml:space="preserve">Услуги по тиражированию раздаточного материала </t>
  </si>
  <si>
    <t xml:space="preserve">Услуги по осуществлению записи на DVD диски </t>
  </si>
  <si>
    <t>Тиражирование раздаточных материалов  для предоставления слушателям обучающих семинаров</t>
  </si>
  <si>
    <t>Запись раздаточных материалов на DVD диски для предоставления слушателям обучающих семинаров</t>
  </si>
  <si>
    <t>26.18.13</t>
  </si>
  <si>
    <t>июнь-июль,сентябрь-октябрь</t>
  </si>
  <si>
    <t>июль-сентябрь,октябрь-декабрь</t>
  </si>
  <si>
    <t>Сетевой фильтр</t>
  </si>
  <si>
    <t>Услуги перевода</t>
  </si>
  <si>
    <t>646 Т</t>
  </si>
  <si>
    <t>647 Т</t>
  </si>
  <si>
    <t>648 Т</t>
  </si>
  <si>
    <t>649 Т</t>
  </si>
  <si>
    <t>650 Т</t>
  </si>
  <si>
    <t>651 Т</t>
  </si>
  <si>
    <t>652 Т</t>
  </si>
  <si>
    <t>653 Т</t>
  </si>
  <si>
    <t>654 Т</t>
  </si>
  <si>
    <t>655 Т</t>
  </si>
  <si>
    <t>656 Т</t>
  </si>
  <si>
    <t>657 Т</t>
  </si>
  <si>
    <t>658 Т</t>
  </si>
  <si>
    <t>659 Т</t>
  </si>
  <si>
    <t>660 Т</t>
  </si>
  <si>
    <t>661 Т</t>
  </si>
  <si>
    <t>ноябрь</t>
  </si>
  <si>
    <t>662 Т</t>
  </si>
  <si>
    <t xml:space="preserve"> </t>
  </si>
  <si>
    <t>июнь</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</si>
  <si>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</si>
  <si>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</si>
  <si>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74.30.11</t>
  </si>
  <si>
    <t>август-сентябрь</t>
  </si>
  <si>
    <t>663 Т</t>
  </si>
  <si>
    <t xml:space="preserve">Маркеры для записей </t>
  </si>
  <si>
    <t>Маркеры для записей на досках для использования в обучении по проекту "Бизнес-Советник"</t>
  </si>
  <si>
    <t>664 Т</t>
  </si>
  <si>
    <t>665 Т</t>
  </si>
  <si>
    <t>666 Т</t>
  </si>
  <si>
    <t>667 Т</t>
  </si>
  <si>
    <t>668 Т</t>
  </si>
  <si>
    <t>669 Т</t>
  </si>
  <si>
    <t>670 Т</t>
  </si>
  <si>
    <t>671 Т</t>
  </si>
  <si>
    <t>672 Т</t>
  </si>
  <si>
    <t>673 Т</t>
  </si>
  <si>
    <t>674 Т</t>
  </si>
  <si>
    <t>675 Т</t>
  </si>
  <si>
    <t>676 Т</t>
  </si>
  <si>
    <t>677 Т</t>
  </si>
  <si>
    <t>678 Т</t>
  </si>
  <si>
    <t>679 Т</t>
  </si>
  <si>
    <t>Губки для маркерных досок</t>
  </si>
  <si>
    <t>Губки для маркерных досок для использования в проекте "Бизнес-Советник"</t>
  </si>
  <si>
    <t>680 Т</t>
  </si>
  <si>
    <t>681 Т</t>
  </si>
  <si>
    <t>682 Т</t>
  </si>
  <si>
    <t>683 Т</t>
  </si>
  <si>
    <t>684 Т</t>
  </si>
  <si>
    <t>685 Т</t>
  </si>
  <si>
    <t>686 Т</t>
  </si>
  <si>
    <t>687 Т</t>
  </si>
  <si>
    <t>688 Т</t>
  </si>
  <si>
    <t>17.21.12</t>
  </si>
  <si>
    <t>Пакеты для раздачи стандартного пакета документов</t>
  </si>
  <si>
    <t>Пакеты для вложения стандартного   пакета документов</t>
  </si>
  <si>
    <t>Флип-чарт, магнит-маркер 100*70, мобильный</t>
  </si>
  <si>
    <t>Доска маркерная магнитная, 90*120</t>
  </si>
  <si>
    <t>авансовый платеж - 0%, оставшаяся часть ежемесячно в течение 10 рабочих дней с момента подписания актов оказанных услуг</t>
  </si>
  <si>
    <t>авансовый платеж - 30%, оставшаяся часть в течение 10 рабочих дней с момента подписания промежуточных актов оказанных услуг</t>
  </si>
  <si>
    <t>апрель-май, июнь-октябрь</t>
  </si>
  <si>
    <t>апрель-июнь, июль-октябрь</t>
  </si>
  <si>
    <t>апрель-май, июль-август</t>
  </si>
  <si>
    <t>май-июль, август-ноябрь</t>
  </si>
  <si>
    <t>апрель-май, июнь-июль</t>
  </si>
  <si>
    <t>май-июнь, август-ноябрь</t>
  </si>
  <si>
    <t>май-август, сентябрь-декабрь</t>
  </si>
  <si>
    <t>апрель-май, июль-сентябрь</t>
  </si>
  <si>
    <t>апрель-май, июль- сентябрь</t>
  </si>
  <si>
    <t>июль -сентябрь</t>
  </si>
  <si>
    <t>Проведение опроса целевой группы МСБ, сбор, обработка, анализ данных, подготовка отчета по результатам исследования</t>
  </si>
  <si>
    <t>70.22.32</t>
  </si>
  <si>
    <t>Разработка  типовых  бизнес-планов по 20 видам бизнеса.</t>
  </si>
  <si>
    <t>сентябрь-ноябрь</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</si>
  <si>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</si>
  <si>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</si>
  <si>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</si>
  <si>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</si>
  <si>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</si>
  <si>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г. Астана</t>
  </si>
  <si>
    <t>59.12.11</t>
  </si>
  <si>
    <t>штук</t>
  </si>
  <si>
    <t>январь-февраль, август-сентябрь</t>
  </si>
  <si>
    <t>бутыль</t>
  </si>
  <si>
    <t>Авансовый платеж      100 %</t>
  </si>
  <si>
    <t>Кресло офисное</t>
  </si>
  <si>
    <t>Смеситель</t>
  </si>
  <si>
    <t xml:space="preserve"> USB Flash   накопитель </t>
  </si>
  <si>
    <t xml:space="preserve"> USB Flash   накопитель памятью 2 Гб</t>
  </si>
  <si>
    <t>59.20.33</t>
  </si>
  <si>
    <t>Компакт  диски (DVD диски)</t>
  </si>
  <si>
    <t>700 MB 52X DVD-R</t>
  </si>
  <si>
    <t>18.12.29</t>
  </si>
  <si>
    <t>26.18.14</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</si>
  <si>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</si>
  <si>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</si>
  <si>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</si>
  <si>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 xml:space="preserve">Расходы по уборке помещения </t>
  </si>
  <si>
    <t>Базовая и поддерживающая уборка  (5 дней в неделю), генеральная уборка (ежемесячно)</t>
  </si>
  <si>
    <t>авансовый платеж - 0%, оставшаяся часть ежемесячно в течение 10 рабочих дней с момента подписания акта оказанных услуг</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</si>
  <si>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</si>
  <si>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</si>
  <si>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</si>
  <si>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Замена комплектующих частей компьютерного оборудования и оргтехники</t>
  </si>
  <si>
    <t>Расходы по ремонту мебели</t>
  </si>
  <si>
    <t>Расходы по ремонту сейфов</t>
  </si>
  <si>
    <t>Техническая поддержка IP АТС, включая Call-центр</t>
  </si>
  <si>
    <t>Техническая поддержка сетевого оборудования</t>
  </si>
  <si>
    <t>Обслуживание пожарной сигнализации</t>
  </si>
  <si>
    <t>Обслуживание программного обеспечения по информационной безопасности</t>
  </si>
  <si>
    <t>Услуги по изготовлению вывесок, флагштоков для РФ</t>
  </si>
  <si>
    <t>Оплата услуг Центра франчайзинга</t>
  </si>
  <si>
    <t>Абонплата за единый номер дозвона до Call-центра</t>
  </si>
  <si>
    <t>Услуги маркетинговых исследований состояния развития субъектов малого и среднего предпринимательства</t>
  </si>
  <si>
    <t>Мебель руководителя</t>
  </si>
  <si>
    <t>Шкаф металлический</t>
  </si>
  <si>
    <t>Стул офисный</t>
  </si>
  <si>
    <t>Фотоаппарат</t>
  </si>
  <si>
    <t>Объектив</t>
  </si>
  <si>
    <t>Плата подключения потока E1 для IP АТС AVAYA MM710B E1/T1 MEDIA MODULE</t>
  </si>
  <si>
    <t>Оборудование для информационной безопасности</t>
  </si>
  <si>
    <t>Автоматизорованная система мониторинга учета выплат субсидий (АИС)</t>
  </si>
  <si>
    <t>Автоматизация процесса управления рисками</t>
  </si>
  <si>
    <t xml:space="preserve">Лицензионное программное обеспечение Solid PDF Tools v7 Multiple Seat License 20+ User Licenses (per each) </t>
  </si>
  <si>
    <t>Лицензионное программное обеспечени Lync Server Standard CAL 2010 SNGL OpenLicensePack NoLevel DvcCAL</t>
  </si>
  <si>
    <t>Лицензионное программное обеспечени FastReport4 Enterprise Team</t>
  </si>
  <si>
    <t>Лицензионное программное обеспечени Exchange Server Enterprise 2010 Russian 
OpenLicensePack NoLevel</t>
  </si>
  <si>
    <t>Лицензионное программное обеспечени Exchange Standard CAL 2010 Russian 
OpenLicensePack NoLevel DvcCAL</t>
  </si>
  <si>
    <t>Лицензионное программное обеспечени Exchange Enterprise CAL 2010 Russian 
OpenLicensePack NoLevel DvcCAL woSrvcs</t>
  </si>
  <si>
    <t xml:space="preserve">Лицензионное программное обеспечени Delphi 2010 Professional new user Named ESD </t>
  </si>
  <si>
    <t xml:space="preserve">Лицензионное программное обеспечени Delphi 2010 Architect new user Named ESD </t>
  </si>
  <si>
    <t>Конференц-система</t>
  </si>
  <si>
    <t>Шкаф для одежды</t>
  </si>
  <si>
    <t>Конференц-стол</t>
  </si>
  <si>
    <t>Видеокамера</t>
  </si>
  <si>
    <t>Напольный стенд для буклетов</t>
  </si>
  <si>
    <t>Диван для посетителей</t>
  </si>
  <si>
    <t xml:space="preserve">Стеллаж 1-сторонний </t>
  </si>
  <si>
    <t xml:space="preserve">Стеллаж 2-сторонний  </t>
  </si>
  <si>
    <t xml:space="preserve">Стеллаж универсальный  </t>
  </si>
  <si>
    <t xml:space="preserve">Шкаф каталожный   </t>
  </si>
  <si>
    <t xml:space="preserve">Стеллаж для документов </t>
  </si>
  <si>
    <t>Книжный шкаф со стеклом в рамке</t>
  </si>
  <si>
    <t>Приставка к столу</t>
  </si>
  <si>
    <t>Кресло в конференц зал</t>
  </si>
  <si>
    <t>Стеллаж двухсекционный "Этаж"</t>
  </si>
  <si>
    <t>Стол журнальный</t>
  </si>
  <si>
    <t>Стол с приставкой</t>
  </si>
  <si>
    <t>Гибкая подводка</t>
  </si>
  <si>
    <t>Трос сантехнический мет.</t>
  </si>
  <si>
    <t>Трос сантехнический пружинный</t>
  </si>
  <si>
    <t>Сифон</t>
  </si>
  <si>
    <t>Фановая труба</t>
  </si>
  <si>
    <t>Герметик</t>
  </si>
  <si>
    <t>Валик</t>
  </si>
  <si>
    <t>Пистолет для герметика</t>
  </si>
  <si>
    <t>Шпатель</t>
  </si>
  <si>
    <t>Пена монтажная</t>
  </si>
  <si>
    <t>Стремянка</t>
  </si>
  <si>
    <t>Газонокосилка</t>
  </si>
  <si>
    <t>Бур по бетону</t>
  </si>
  <si>
    <t>Набор сверел по металлу</t>
  </si>
  <si>
    <t>Стеклорез</t>
  </si>
  <si>
    <t>Отрезной круг</t>
  </si>
  <si>
    <t>Щиток электросварщика</t>
  </si>
  <si>
    <t>Электродрель-перфоратор</t>
  </si>
  <si>
    <t>Насадки для шуруповерта</t>
  </si>
  <si>
    <t>Кувалда</t>
  </si>
  <si>
    <t>Ключ разводной</t>
  </si>
  <si>
    <t>Плоскогубцы</t>
  </si>
  <si>
    <t>Бокорезы</t>
  </si>
  <si>
    <t>Ножовка по дереву</t>
  </si>
  <si>
    <t>Уровень</t>
  </si>
  <si>
    <t>Ножницы по металлу</t>
  </si>
  <si>
    <t>Киянка резиновая</t>
  </si>
  <si>
    <t xml:space="preserve">Шланг </t>
  </si>
  <si>
    <t>Лопата штык.</t>
  </si>
  <si>
    <t>Грабли</t>
  </si>
  <si>
    <t>Сучкорез</t>
  </si>
  <si>
    <t>Лампа нак. Е27</t>
  </si>
  <si>
    <t>Лампа нак. Е14 40R</t>
  </si>
  <si>
    <t>Лампа нак. Е27 25А</t>
  </si>
  <si>
    <t>Однополюсный выключатель</t>
  </si>
  <si>
    <t>Спаренная розетка</t>
  </si>
  <si>
    <t>Клавиша к выключателю</t>
  </si>
  <si>
    <t>Рамка одиночная</t>
  </si>
  <si>
    <t>Лампа</t>
  </si>
  <si>
    <t xml:space="preserve">Клей </t>
  </si>
  <si>
    <t xml:space="preserve">Стартеры </t>
  </si>
  <si>
    <t>Сердечник</t>
  </si>
  <si>
    <t xml:space="preserve">Салфетки </t>
  </si>
  <si>
    <t>Водоэмульсионная краска</t>
  </si>
  <si>
    <t>Панель электрическая для монтажа в стойку 19''</t>
  </si>
  <si>
    <t>Коннекторы RJ 45</t>
  </si>
  <si>
    <t>Кабель UTP категория 5e</t>
  </si>
  <si>
    <t>Манипулятор типа "мышь", интерфейс подключения USB</t>
  </si>
  <si>
    <t>Клавиатура, интерфейс подключения USB</t>
  </si>
  <si>
    <t xml:space="preserve">Лента клейкая - 19ммх33м </t>
  </si>
  <si>
    <t>Степлер - №10</t>
  </si>
  <si>
    <t xml:space="preserve">Степлер - №24/6.26/6 </t>
  </si>
  <si>
    <t>Степлер - №23/6.23/8-23/10</t>
  </si>
  <si>
    <t>Скобы - №24/6</t>
  </si>
  <si>
    <t>Скобы - №23/10 1000шт.</t>
  </si>
  <si>
    <t xml:space="preserve">Точилка </t>
  </si>
  <si>
    <t>Антистеплер</t>
  </si>
  <si>
    <t xml:space="preserve">Зажим - 19мм </t>
  </si>
  <si>
    <t>Разделитель</t>
  </si>
  <si>
    <t>Клей-карандаш</t>
  </si>
  <si>
    <t xml:space="preserve">Маркер текстовый </t>
  </si>
  <si>
    <t xml:space="preserve">Карандаш </t>
  </si>
  <si>
    <t xml:space="preserve">Ручка шариковая </t>
  </si>
  <si>
    <t xml:space="preserve">Калькулятор </t>
  </si>
  <si>
    <t>Конверт</t>
  </si>
  <si>
    <t xml:space="preserve">Папка с файлами </t>
  </si>
  <si>
    <t xml:space="preserve">Папка с кнопкой </t>
  </si>
  <si>
    <t xml:space="preserve">Папка с резинкой </t>
  </si>
  <si>
    <t xml:space="preserve">Папка на подпись </t>
  </si>
  <si>
    <t xml:space="preserve">Штатив для видеокамеры </t>
  </si>
  <si>
    <t>Внешний жесткий диск</t>
  </si>
  <si>
    <t xml:space="preserve">2 Т </t>
  </si>
  <si>
    <t>Разработка типовых бизнез-планов</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</si>
  <si>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</si>
  <si>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</si>
  <si>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Услуги аутсорсинга по предоставлению персонала</t>
  </si>
  <si>
    <t>Услуги по диагностике корпоративного управления</t>
  </si>
  <si>
    <t>26.20.11</t>
  </si>
  <si>
    <t>31.01.12</t>
  </si>
  <si>
    <t>31.00.11</t>
  </si>
  <si>
    <t>26.70.13</t>
  </si>
  <si>
    <t>26.70.11</t>
  </si>
  <si>
    <t>Источник бесперебойного питания со стабилизатором напряжения, мощностью не менее 620 Вт</t>
  </si>
  <si>
    <t>62.01.29</t>
  </si>
  <si>
    <t>Услуги переноса входящих телекоммуникационных линий в серверную комнату 5 этажа</t>
  </si>
  <si>
    <t>Услуги связи</t>
  </si>
  <si>
    <t>Услуги Интернет</t>
  </si>
  <si>
    <t>Медицинское страхование сотрудников на случай болезни</t>
  </si>
  <si>
    <t>26.30.50</t>
  </si>
  <si>
    <t>авансовый платеж -30%, оставшаяся часть в течение 10 рабочих дней с момента подписания акта оказанных услуг</t>
  </si>
  <si>
    <t xml:space="preserve"> с января по 31.12.2012г.</t>
  </si>
  <si>
    <t>с января по 31.12.2012г.</t>
  </si>
  <si>
    <t xml:space="preserve"> с февраля по 31.12.2012г.</t>
  </si>
  <si>
    <t>с января по 31.12.2012 г.</t>
  </si>
  <si>
    <t>с марта по 31.12.2012г.</t>
  </si>
  <si>
    <t>по 31.12.2012 г.</t>
  </si>
  <si>
    <t>ПК комплект. HDD не менее 250 Gb, ОЗУ не менее 3 Gb, монитор диагональ 19-21", OS Windows 7 Professional х32</t>
  </si>
  <si>
    <t>комплект 20 - 30 делегатов, возможность подключения к ПК</t>
  </si>
  <si>
    <t xml:space="preserve">Источник бесперебойного питания </t>
  </si>
  <si>
    <t xml:space="preserve">Шкаф коммутационный </t>
  </si>
  <si>
    <t>Шкаф коммутационный настенный 6U - 9U, материал изготовления - пластик или легкосплавные металлы</t>
  </si>
  <si>
    <t>Модель MM710B E1/T1 MEDIA MODULE</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</si>
  <si>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</si>
  <si>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право на подключение к серверному продукту корпоративной коммуникации</t>
  </si>
  <si>
    <t>набор компонентов для построения отчетов</t>
  </si>
  <si>
    <t>Программное обеспечение для обмена сообщениями и совместной работы</t>
  </si>
  <si>
    <t>право на подключение к серверному продукту для обмена сообщениями</t>
  </si>
  <si>
    <t>среда программирования и разработки</t>
  </si>
  <si>
    <t xml:space="preserve">Панель электрическая </t>
  </si>
  <si>
    <t xml:space="preserve">Органайзер горизонтальный для монтажа в стойку 19 </t>
  </si>
  <si>
    <t xml:space="preserve">Кабельный организатор </t>
  </si>
  <si>
    <t xml:space="preserve">Коннекторы </t>
  </si>
  <si>
    <t>метр</t>
  </si>
  <si>
    <t xml:space="preserve">Кабель UTP </t>
  </si>
  <si>
    <t>интерфейс подключения USB</t>
  </si>
  <si>
    <t xml:space="preserve">Авансовый платеж 100%, </t>
  </si>
  <si>
    <t xml:space="preserve">Линейка </t>
  </si>
  <si>
    <t xml:space="preserve">А4, 20-60 файлов </t>
  </si>
  <si>
    <t>А4, кожанная, кожзаменитель</t>
  </si>
  <si>
    <t>А4, пластиковая</t>
  </si>
  <si>
    <t>А4, пластиковая с резинкой</t>
  </si>
  <si>
    <t>Регистратор - А4 70мм</t>
  </si>
  <si>
    <t xml:space="preserve">Регистратор  </t>
  </si>
  <si>
    <t>Регистратор - А4 50мм</t>
  </si>
  <si>
    <t xml:space="preserve">Регистратор </t>
  </si>
  <si>
    <t xml:space="preserve">Скоросшиватель </t>
  </si>
  <si>
    <t xml:space="preserve">Лента клейкая </t>
  </si>
  <si>
    <t xml:space="preserve">Степлер </t>
  </si>
  <si>
    <t xml:space="preserve">Скобы </t>
  </si>
  <si>
    <t>Дырокол - 25л</t>
  </si>
  <si>
    <t xml:space="preserve">Дырокол </t>
  </si>
  <si>
    <t>Дырокол - 70л</t>
  </si>
  <si>
    <t>Дырокол .</t>
  </si>
  <si>
    <t xml:space="preserve">Зажим </t>
  </si>
  <si>
    <t xml:space="preserve">Зажим для бумаг - 32мм </t>
  </si>
  <si>
    <t xml:space="preserve">Корзина </t>
  </si>
  <si>
    <t>27.20.11</t>
  </si>
  <si>
    <t>разделитель для регистратора</t>
  </si>
  <si>
    <t xml:space="preserve">Файл </t>
  </si>
  <si>
    <t>Карандаш с черным графитовым стержнем</t>
  </si>
  <si>
    <t xml:space="preserve">Бумага для заметок </t>
  </si>
  <si>
    <t>Бумага для заметок разноцветная размером 75*75мм</t>
  </si>
  <si>
    <t>Формат А4,А5,А6</t>
  </si>
  <si>
    <t xml:space="preserve">36.00.11 </t>
  </si>
  <si>
    <t>январь, март,май,июль,сентябрь,ноябрь</t>
  </si>
  <si>
    <t>объем 4,8 л</t>
  </si>
  <si>
    <t>500 - 1000 Гбайт</t>
  </si>
  <si>
    <t>Треножный штатив для видеокамеры</t>
  </si>
  <si>
    <t>26.40.33</t>
  </si>
  <si>
    <t>27.33.13</t>
  </si>
  <si>
    <t>26.20.40</t>
  </si>
  <si>
    <t>20.30.11</t>
  </si>
  <si>
    <t>Чайный сервиз</t>
  </si>
  <si>
    <t>26.30.30</t>
  </si>
  <si>
    <t>Бумажные полотенца</t>
  </si>
  <si>
    <t>Мыло жидкое</t>
  </si>
  <si>
    <t>112</t>
  </si>
  <si>
    <t>Бумажные полотенца в рулонах</t>
  </si>
  <si>
    <t>Чайный сервиз на 12 персон, керамический или фарфоровый</t>
  </si>
  <si>
    <t>20.13.52</t>
  </si>
  <si>
    <t>20.14.75</t>
  </si>
  <si>
    <t>Дистанционные карточки для чек-пойнта</t>
  </si>
  <si>
    <t>25.72.12</t>
  </si>
  <si>
    <t>32.91.11</t>
  </si>
  <si>
    <t>29.31.22</t>
  </si>
  <si>
    <t>27.40.12</t>
  </si>
  <si>
    <t>27.32.13</t>
  </si>
  <si>
    <t>Кабель многожильный</t>
  </si>
  <si>
    <t>22.21.41</t>
  </si>
  <si>
    <t xml:space="preserve">Лампа </t>
  </si>
  <si>
    <t xml:space="preserve">Лопата </t>
  </si>
  <si>
    <t>шредер</t>
  </si>
  <si>
    <t>25.99.21</t>
  </si>
  <si>
    <t>26.70.9</t>
  </si>
  <si>
    <t>31.00.13</t>
  </si>
  <si>
    <t>25.99.24</t>
  </si>
  <si>
    <t>26.70.73</t>
  </si>
  <si>
    <t>26.70.54</t>
  </si>
  <si>
    <t>Настенные блокноты для записей</t>
  </si>
  <si>
    <t>г. Алматы</t>
  </si>
  <si>
    <t>Контент-анализ  материалов средств массовой информации</t>
  </si>
  <si>
    <t xml:space="preserve">Абонплата за поддержание SIP-транков </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</si>
  <si>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</si>
  <si>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</si>
  <si>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</si>
  <si>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</si>
  <si>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авансовый платеж - 0%, оставшаяся часть ежемесячно в течение 10 рабочих дней с момента подписания   акта оказанных услуг</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</si>
  <si>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</si>
  <si>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</si>
  <si>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</si>
  <si>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</si>
  <si>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</si>
  <si>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</si>
  <si>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</si>
  <si>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</si>
  <si>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</si>
  <si>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</si>
  <si>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</si>
  <si>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</si>
  <si>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</si>
  <si>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</si>
  <si>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</si>
  <si>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</si>
  <si>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</si>
  <si>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</si>
  <si>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</si>
  <si>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</si>
  <si>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</si>
  <si>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</si>
  <si>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</si>
  <si>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</si>
  <si>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</si>
  <si>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</si>
  <si>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</si>
  <si>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554 У</t>
  </si>
  <si>
    <t>555 У</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</si>
  <si>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</si>
  <si>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</si>
  <si>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</si>
  <si>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</si>
  <si>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</si>
  <si>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</si>
  <si>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</si>
  <si>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</si>
  <si>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</si>
  <si>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</si>
  <si>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</si>
  <si>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</si>
  <si>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</si>
  <si>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</si>
  <si>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</si>
  <si>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</si>
  <si>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</si>
  <si>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</si>
  <si>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575 У</t>
  </si>
  <si>
    <t>576 У</t>
  </si>
  <si>
    <t>577 У</t>
  </si>
  <si>
    <t>578 У</t>
  </si>
  <si>
    <t>579 У</t>
  </si>
  <si>
    <t>26.20.18</t>
  </si>
  <si>
    <t xml:space="preserve">Многофункциональное устройство </t>
  </si>
  <si>
    <t>Принтер, сканер, копир</t>
  </si>
  <si>
    <t>Услуги сторонней организации для оказания услуг по взысканию задолженности по проблемному ссудному портфелю Фонда.</t>
  </si>
  <si>
    <t>73 Т</t>
  </si>
  <si>
    <t>574 У</t>
  </si>
  <si>
    <t>Услуги по перезарядке огнетушителей</t>
  </si>
  <si>
    <t>Услуги по организации и проведению Сессии по МСБ, в рамках V Астанинского экономического форума</t>
  </si>
  <si>
    <t>Услуги по организации и проведению  Республиканского Форума по Программе "ДКБ-2020"</t>
  </si>
  <si>
    <t>с февраля по 31.12.2012 года</t>
  </si>
  <si>
    <t>февраль-май</t>
  </si>
  <si>
    <t>март-май</t>
  </si>
  <si>
    <t>май-июль, сентябрь-декабрь</t>
  </si>
  <si>
    <t>май-июль</t>
  </si>
  <si>
    <t xml:space="preserve">Размещение платных  материалов на каз./рус. языках о деятельности Фонда в республиканских, деловых СМИ. </t>
  </si>
  <si>
    <t>Мониторинг выхода информации о Фонде в СМИ (пресс-досье), количественный контент-анализ, структурно-тематическая выборка</t>
  </si>
  <si>
    <t xml:space="preserve"> Количественный контент-анализ, структурно-тематическая выборка</t>
  </si>
  <si>
    <t>февраль, апрель, июнь, сентябрь, ноябрь</t>
  </si>
  <si>
    <t>март, май, июль, октябрь, декабрь</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</si>
  <si>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</si>
  <si>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</si>
  <si>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</si>
  <si>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Организация и координация работы по оказанию консультационных услуг и информационной поддержки предпринимателям в сфере франчайзинга</t>
  </si>
  <si>
    <t xml:space="preserve">Поддержка и наполнение контента  Бизнес-портала </t>
  </si>
  <si>
    <t>Поддержка и наполнение контента  Бизнес-портала  на каз/рус языках</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</si>
  <si>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</si>
  <si>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</si>
  <si>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 xml:space="preserve">Организация и проведение Форума  с участием партнеров Фонда, в целях представления результатов Программы и обсуждения проблем </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</si>
  <si>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</si>
  <si>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январь-апрель</t>
  </si>
  <si>
    <t>Февраль, апрель, июнь, август, октябрь, ноябрь, декабрь</t>
  </si>
  <si>
    <t>декабрь 2011г.</t>
  </si>
  <si>
    <t>Настенные блокноты  для записей</t>
  </si>
  <si>
    <t xml:space="preserve">ЦП </t>
  </si>
  <si>
    <t>Услуги по изготовлению баннеров</t>
  </si>
  <si>
    <t>март-апрель,          июль-август</t>
  </si>
  <si>
    <t>апрель-май,       август-сентябрь</t>
  </si>
  <si>
    <t>Формат А2</t>
  </si>
  <si>
    <t>Услуги консультантов для Центра поддержки предпринимательства</t>
  </si>
  <si>
    <t>январь-февраль, июнь-сентябрь</t>
  </si>
  <si>
    <t xml:space="preserve">апрель-май,                                             </t>
  </si>
  <si>
    <t>Корпус из ЛДСП, фасад глухой ЛДСП с кромкой из ПВХ, остекленный, фасад профиль МДФ, разм.750*400*2000</t>
  </si>
  <si>
    <t>Корпус из ЛДСП, внутри штанги для плечиков и полка под головные уборы, разм.750*400*2000</t>
  </si>
  <si>
    <t xml:space="preserve">Стол разм.1500*750*750, приставка под системный блок разм.250*450*150, корпус из ЛДСП,фасад ЛДСП с кромкой ПВХ </t>
  </si>
  <si>
    <t>Высота: не менее 1270,  Ширина: не менее 710,                  материал гоб/кзам пластик.</t>
  </si>
  <si>
    <t>2-х уровневой секретности,4 листа,захват 220мм, сетчатая корзина</t>
  </si>
  <si>
    <t>Стеллажи архивные,корпус из ЛДСП,фасад ЛДСП,внутри полки, расстояние м/у полками 400 мм</t>
  </si>
  <si>
    <t>февраль-март, май-июнь</t>
  </si>
  <si>
    <t>Блокноты для записей  для маркерной доски, 20 лист.</t>
  </si>
  <si>
    <t>февраль,апрель, сентябрь,ноябрь</t>
  </si>
  <si>
    <t>март-апрель, июль-сентябрь</t>
  </si>
  <si>
    <t>март-апрель,июнь-июль</t>
  </si>
  <si>
    <t>с даты подписания договора по 31.12.2012г.</t>
  </si>
  <si>
    <t>январь-февраль, апрель-август</t>
  </si>
  <si>
    <t>февраль, март, май, июль, август, октябрь, ноябрь, декабрь</t>
  </si>
  <si>
    <t>январь, март, май, июль,сентябрь, ноябрь, декабрь</t>
  </si>
  <si>
    <t>январь,март,май,июль,сентябрь,ноябрь, декабрь</t>
  </si>
  <si>
    <t>апрель-ноябрь</t>
  </si>
  <si>
    <t>с января по 
31.12.2012г.</t>
  </si>
  <si>
    <t>январь, февраль, март, апрель, май, июнь, июль, август, сентябрь, октябрь,  ноябрь, декабрь</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</si>
  <si>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</si>
  <si>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</si>
  <si>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Услуги Кредитного бюро</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</si>
  <si>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</si>
  <si>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</si>
  <si>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</si>
  <si>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 xml:space="preserve">Коммутационный кабель типа патч-корд </t>
  </si>
  <si>
    <t>Кабель UTP коммутационный обжатый коннекторами 1м., 2м., 3м</t>
  </si>
  <si>
    <t>февраль - март</t>
  </si>
  <si>
    <t xml:space="preserve"> с апреля по 31.12.2012г.</t>
  </si>
  <si>
    <t>Конфигурирование оборудования, замена комплектующих</t>
  </si>
  <si>
    <t>Телефонная связь до городской АТС, 101 телефонный номер в SIP-транке</t>
  </si>
  <si>
    <t xml:space="preserve">Стол раб., стол прист., тумба приставная, тумба передвижная, шкаф, шкаф для одежды, конф.-стол </t>
  </si>
  <si>
    <t>февраль-март-апрель</t>
  </si>
  <si>
    <t>шкаф 2-х створчатый, на 3 полки</t>
  </si>
  <si>
    <t>кожаное, с деревянным/хромовым подлокотниками</t>
  </si>
  <si>
    <t>На пяти роликах, покрытие - гобелен</t>
  </si>
  <si>
    <t>металлические, на 4-х стойках</t>
  </si>
  <si>
    <t>Фотоаппарат цифровой</t>
  </si>
  <si>
    <t>Объектив цифровой</t>
  </si>
  <si>
    <t>для унитаза, пластмассовый, белого цвета</t>
  </si>
  <si>
    <t>из металлической пружины</t>
  </si>
  <si>
    <t xml:space="preserve"> из стальной пружины</t>
  </si>
  <si>
    <t>пластмассовый, белого цвета</t>
  </si>
  <si>
    <t>пластмассовая, серого цвета</t>
  </si>
  <si>
    <t>из нержавеющей стали</t>
  </si>
  <si>
    <t>Валик для водоэмульсионной краски, на поролоновой основе, 12  мм</t>
  </si>
  <si>
    <t>Валик для водоэмульсионной краски, на Парамоновой основе, 8 мм</t>
  </si>
  <si>
    <t>с деревянной ручкой, 75 мм</t>
  </si>
  <si>
    <t>с деревянной ручкой, 38 мм</t>
  </si>
  <si>
    <t>механический, объем барабана 0,2 - 0,5 л</t>
  </si>
  <si>
    <t>с деревянной ручкой, металлический</t>
  </si>
  <si>
    <t xml:space="preserve"> монтажная, в 1,0-2,0 л емкостях</t>
  </si>
  <si>
    <t>стальная, высота - 2 м</t>
  </si>
  <si>
    <t>Электрическая, объем накопителя 10-25 л</t>
  </si>
  <si>
    <t>с металлическим наконечником</t>
  </si>
  <si>
    <t xml:space="preserve">Набор из 5 сверле, металлический </t>
  </si>
  <si>
    <t xml:space="preserve">Набор из 3 сверл, металлический </t>
  </si>
  <si>
    <t>с деревянной ручкой, с алмазным резцом</t>
  </si>
  <si>
    <t>абразивный, диаметр 210, толщина - 2 мм</t>
  </si>
  <si>
    <t>огнеупорный</t>
  </si>
  <si>
    <t>Электроды</t>
  </si>
  <si>
    <t>сварочный, в упаковке по 50-100шт.</t>
  </si>
  <si>
    <t>пач.</t>
  </si>
  <si>
    <t>Вентиль</t>
  </si>
  <si>
    <t>диаметр 15 мм, стальной</t>
  </si>
  <si>
    <t>Нагревательный кабель</t>
  </si>
  <si>
    <t>не менее 1800 оборотов, электрический</t>
  </si>
  <si>
    <t>стальные, в наборе по 6 шт.</t>
  </si>
  <si>
    <t>металлическая, вес - не менее 5 кг</t>
  </si>
  <si>
    <t>металлический, объем захвата не более 50 мм</t>
  </si>
  <si>
    <t>металлический, с изолированной ручкой</t>
  </si>
  <si>
    <t>металлический, с пластмассовой ручкой</t>
  </si>
  <si>
    <t>металлическая, корпус - пластмассовый, 5 м</t>
  </si>
  <si>
    <t>деревянный, с металлическим вкладышем</t>
  </si>
  <si>
    <t>металлическая, с пластмассовой ручкой</t>
  </si>
  <si>
    <t>металлический</t>
  </si>
  <si>
    <t>черная, длина 3 м</t>
  </si>
  <si>
    <t>Резиновый наконечник, с пластмассовой ручкой</t>
  </si>
  <si>
    <t>с деревянной ручкой, вес - не более 500 г.</t>
  </si>
  <si>
    <t>резиновый, 50 м</t>
  </si>
  <si>
    <t>металлическая, с деревянной ручкой</t>
  </si>
  <si>
    <t>стальной,  с пластмассовой ручкой</t>
  </si>
  <si>
    <t>Лампа люм. 18W/54</t>
  </si>
  <si>
    <t>Лампа PL B35 60W 230V Е14</t>
  </si>
  <si>
    <t>пластмассовый, не более 32 А</t>
  </si>
  <si>
    <t>Пластмассовая, 220 V</t>
  </si>
  <si>
    <t>Пластмассовая, белого цвета</t>
  </si>
  <si>
    <t>потолочный, 220 V</t>
  </si>
  <si>
    <t xml:space="preserve">жидкий, 0,5-1,0 л </t>
  </si>
  <si>
    <t xml:space="preserve">В пластмассовом корпусе, 220 V </t>
  </si>
  <si>
    <t xml:space="preserve">с деревянной ручкой, высота 120-150 см  </t>
  </si>
  <si>
    <t>для внутренних замков, стальной</t>
  </si>
  <si>
    <t>для внутренних дверей, черного цвета</t>
  </si>
  <si>
    <t xml:space="preserve"> для дверей внутренних, врезной</t>
  </si>
  <si>
    <t>Для омывателя автомобильного, емкость 3,0-5,0 л</t>
  </si>
  <si>
    <t>жидкий, морозоустойчивый до - 20С</t>
  </si>
  <si>
    <t xml:space="preserve"> белая, в емкостях по 10-25 л</t>
  </si>
  <si>
    <t>Ежедневник 2012 г., 60-80 листов</t>
  </si>
  <si>
    <t>А4, картонный, белый</t>
  </si>
  <si>
    <t xml:space="preserve">Лента клейкая - 48х66мм прозрачная </t>
  </si>
  <si>
    <t xml:space="preserve">4,2х5мм, пластмассовая </t>
  </si>
  <si>
    <t>пластмассовый корпус</t>
  </si>
  <si>
    <t>Антистеплер металлический</t>
  </si>
  <si>
    <t xml:space="preserve">Лоток  </t>
  </si>
  <si>
    <t>Лоток вертикальный пластмассовый</t>
  </si>
  <si>
    <t xml:space="preserve">Батарейка типоразмер ААА,  напряжение 1,5 v </t>
  </si>
  <si>
    <t xml:space="preserve">Батарейка типоразмер АА,  напряжение 1,5 v </t>
  </si>
  <si>
    <t>прозрачный, А4</t>
  </si>
  <si>
    <t xml:space="preserve"> шариковая со стержнем, цвет - синий </t>
  </si>
  <si>
    <t>Настольный канцелярский набор</t>
  </si>
  <si>
    <t xml:space="preserve">компрессорная промывка, продувка и опрессовка системы отопления в здании </t>
  </si>
  <si>
    <t>Ремонт стрелы, концевика, блока управления, замена антенны, пульта управления и т.д.</t>
  </si>
  <si>
    <t>Ремонт столов, шкафов, тумб и т.д.</t>
  </si>
  <si>
    <t>вскрытие, перекодировка и т.д.</t>
  </si>
  <si>
    <t>Мойка автомашин, химчистка, полировка</t>
  </si>
  <si>
    <t>Ремонт, техобслуживание, замена масел и т.д.</t>
  </si>
  <si>
    <t>Разметка машино-мест на парковке, краской по бетону, 325 пог.м.</t>
  </si>
  <si>
    <t>Твердый переплет бухгалтерских документов</t>
  </si>
  <si>
    <t>январь-апрель-июль-октябрь</t>
  </si>
  <si>
    <t>с даты подписания договора по июнь 2013</t>
  </si>
  <si>
    <t xml:space="preserve"> с даты подписания договора по 31.12.2012г.</t>
  </si>
  <si>
    <t>Изготовление баннеров, праздничное оформление наружного облика здания и т.д.</t>
  </si>
  <si>
    <t>январь-февраль-март</t>
  </si>
  <si>
    <t>Обязательное страхование легковых автомашин</t>
  </si>
  <si>
    <t>Услуги по страхованию ГПО</t>
  </si>
  <si>
    <t>Алматы,ул. Гоголя, 111</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</si>
  <si>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</si>
  <si>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</si>
  <si>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Блокнот Флип-чарт, белый.  Размер  635х775 мм.  Блок содержит  20 листов.
Плотность бумаги - 80 г/м2</t>
  </si>
  <si>
    <t>февраль- май, июнь-сентябрь</t>
  </si>
  <si>
    <t>февраль-июнь, июль- декабрь</t>
  </si>
  <si>
    <t xml:space="preserve">февраль-май, июнь-сентябрь </t>
  </si>
  <si>
    <t>февраль - июнь, июль- декабрь</t>
  </si>
  <si>
    <t xml:space="preserve">февраль-май, июнь-декабрь </t>
  </si>
  <si>
    <t>Водонагреватель объем 4,8 л</t>
  </si>
  <si>
    <t>Услуги автостоянки и  охраны автотранспотра</t>
  </si>
  <si>
    <t xml:space="preserve"> Выдача справок об обременении движимого и недвижимого имущества, оплата сборов</t>
  </si>
  <si>
    <t>март-апрель, май-июнь</t>
  </si>
  <si>
    <t>июль</t>
  </si>
  <si>
    <t>июнь - август, сентябрь -  декабрь</t>
  </si>
  <si>
    <t>январь-февраль, март-апрель</t>
  </si>
  <si>
    <t>Аренда помещений, организация кофе-брейков, обедов, услуги сурдопереводчика (лектора-тренера)</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</si>
  <si>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</si>
  <si>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Блокнот д/флипчартов белый,56х88, 30 листов</t>
  </si>
  <si>
    <t>Блокноты для записей  для маркерной доски</t>
  </si>
  <si>
    <t xml:space="preserve">Создание сценария и производство видео и аудио роликов, дизайн и производство макета в печатные СМИ </t>
  </si>
  <si>
    <t>Изготовление и распространение рекламных листовок и флаеров о деятельности Фонда</t>
  </si>
  <si>
    <t xml:space="preserve"> март-апрель</t>
  </si>
  <si>
    <t>март, апрель, июль, август, ноябрь, декабрь</t>
  </si>
  <si>
    <t>март, апрель, июль, август, сентябрь, ноябрь, декабрь</t>
  </si>
  <si>
    <t>Проживание, питание и проезд Членов Общественного Совета</t>
  </si>
  <si>
    <t>август-сентябрь, ноябрь-декабрь</t>
  </si>
  <si>
    <t>май, июнь</t>
  </si>
  <si>
    <t>Авансовый платеж 100 %</t>
  </si>
  <si>
    <t>Заправка баллона огнетушащим средством</t>
  </si>
  <si>
    <t>Код ТРУ</t>
  </si>
  <si>
    <t>Услуги по изготовлению баннеров,флагштоков и наружных вывесок</t>
  </si>
  <si>
    <t>84.25.19</t>
  </si>
  <si>
    <t>Проведение досудебных и судебных мероприятий по взысканию с должников Фонда суммы долга по заключенному договору финансовых услуг</t>
  </si>
  <si>
    <t xml:space="preserve">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</si>
  <si>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 xml:space="preserve">Бумага ф. А4  </t>
  </si>
  <si>
    <t>12.26.01</t>
  </si>
  <si>
    <t>27.51.15</t>
  </si>
  <si>
    <t>Термопод</t>
  </si>
  <si>
    <t>58.29.50</t>
  </si>
  <si>
    <t>Компьютер</t>
  </si>
  <si>
    <t>63.99.88</t>
  </si>
  <si>
    <t>63.99.90</t>
  </si>
  <si>
    <t>53.10.1</t>
  </si>
  <si>
    <t>53.20.11</t>
  </si>
  <si>
    <t>80.10.1</t>
  </si>
  <si>
    <t>Дополнительная характеристика</t>
  </si>
  <si>
    <t>Приоритет закупки</t>
  </si>
  <si>
    <t>Алматы,ул. Гоголя 111</t>
  </si>
  <si>
    <t>Ноутбук для сотрудника ЦРПП</t>
  </si>
  <si>
    <t>Диагоналы 13-15", HDD 250 - 320 ГБ, RAM 3-8, WiFi 802.11a-n</t>
  </si>
  <si>
    <t>Многофункциональное устройство для сотрудника ЦРПП</t>
  </si>
  <si>
    <t>Телефонные аппараты</t>
  </si>
  <si>
    <t>Мебельный гарнитур для руководителей ЦРПП</t>
  </si>
  <si>
    <t xml:space="preserve">Стол раб. 2100*1140*750, стол прист. 1350*1000*710, стол боковой 1400*613*650, тумба передвижная 510*600*630,  шкаф 450*430*2012, шкаф 900*430*2012, шкаф для одежды 900*450*2012, конф.-стол </t>
  </si>
  <si>
    <t>Стол эргономичный на метал. ножках, 1600*1200*720, тумба мобильная 420*560*590, на роликах, шкаф, размером 900*460*1600</t>
  </si>
  <si>
    <t>Сейф для ЦРПП</t>
  </si>
  <si>
    <t>Кресла для сотрудников ЦРПП</t>
  </si>
  <si>
    <t>Гобилен или перфорированная искуственная кожа, пластиковые подлокотники, кретовина на колесиках</t>
  </si>
  <si>
    <t>Стулья для ЦРПП</t>
  </si>
  <si>
    <t>Металлический каркас, гобилен</t>
  </si>
  <si>
    <t>Обязательное страхование микроавтобусов</t>
  </si>
  <si>
    <t>580 У</t>
  </si>
  <si>
    <t>689 Т</t>
  </si>
  <si>
    <t>690 Т</t>
  </si>
  <si>
    <t>691 Т</t>
  </si>
  <si>
    <t>692 Т</t>
  </si>
  <si>
    <t>693 Т</t>
  </si>
  <si>
    <t>694 Т</t>
  </si>
  <si>
    <t>695 Т</t>
  </si>
  <si>
    <t>авансовый платеж - 0%, оставшаяся часть в течение 10 рабочих дней с момента подписания акта приема-передачи</t>
  </si>
  <si>
    <t>авансовый платеж - 30%, оставшаяся часть в течение 10 рабочих дней с момента подписания акта приема-передачи</t>
  </si>
  <si>
    <t>Комплект офисной мебели для сотрудников ЦРПП</t>
  </si>
  <si>
    <t>Телефонный аппарат  для сотрудников ЦРПП</t>
  </si>
  <si>
    <t>авансовый платеж - 0%, оставшаяся часть в течение 10 рабочих дней с момента подписания актов оказанных услуг</t>
  </si>
  <si>
    <t>январь-февраль, апрель-май, июль-август, октябрь-ноябрь, декабрь</t>
  </si>
  <si>
    <t>в течение 30 дней с даты подписания договора</t>
  </si>
  <si>
    <t>февраль-март, апрель-май, июнь</t>
  </si>
  <si>
    <t>сентябрь, октябрь-ноябрь</t>
  </si>
  <si>
    <t>апрель-май, июнь-июль, август-сентябрь</t>
  </si>
  <si>
    <t>сентябрь-октябрь, ноябрь</t>
  </si>
  <si>
    <t>май-июнь, август-сентябрь, октябрь-ноябрь</t>
  </si>
  <si>
    <t>май-июль, август-сентябрь, октябрь-ноябрь</t>
  </si>
  <si>
    <t>апрель-май, июнь-июль, август-сентябрь, октябрь-ноябрь</t>
  </si>
  <si>
    <t>июнь-август, сентябрь-октябрь, ноябрь-декабрь</t>
  </si>
  <si>
    <t>май-июнь, июль-август</t>
  </si>
  <si>
    <t>май-июнь, июль-август, сентябрь-октябрь</t>
  </si>
  <si>
    <t>с даты подписания договора по 31 декабря 2012 г.</t>
  </si>
  <si>
    <t xml:space="preserve">февраль-март, апрель-май, июнь-июль, август-сентябрь </t>
  </si>
  <si>
    <t>май-июнь, июль-август, сентябрь-октябрь, ноябрь-декабрь</t>
  </si>
  <si>
    <t>июнь-август, сентябрь-октябрь ноябрь-декабрь</t>
  </si>
  <si>
    <t>май-июль, сентябрь-октябрь ноябрь-декабрь</t>
  </si>
  <si>
    <t>июнь-август, сентябрь-октябрь-ноябрь, декабрь</t>
  </si>
  <si>
    <t>с подписания договора по 31.12.2012г.</t>
  </si>
  <si>
    <t>июль-август, сентябрь</t>
  </si>
  <si>
    <t>с даты подписания договора по декабрь 2012г.</t>
  </si>
  <si>
    <t>май - июнь, июль-август, сентябрь-октябрь, ноябрь- декабрь</t>
  </si>
  <si>
    <t>Легковой автомобиль для ЦРПП</t>
  </si>
  <si>
    <t>Cедан , количество мест-5, количество дверей-4, объем двигателя - 1800-2000 куб.см., КПП -автомат, кондиционер</t>
  </si>
  <si>
    <t>Не включенные статьи</t>
  </si>
  <si>
    <t>ФОТ</t>
  </si>
  <si>
    <t>Капзатраты по бюджету</t>
  </si>
  <si>
    <t>Займы</t>
  </si>
  <si>
    <t>из них невключенные:</t>
  </si>
  <si>
    <t>Провизии</t>
  </si>
  <si>
    <t>квартиры</t>
  </si>
  <si>
    <t>ЦРП</t>
  </si>
  <si>
    <t>Гарантирование</t>
  </si>
  <si>
    <t>В ГПЗ</t>
  </si>
  <si>
    <t>Возмещение аренда</t>
  </si>
  <si>
    <t>Возмещ. Сотовой</t>
  </si>
  <si>
    <t>Возмещение аэропорт</t>
  </si>
  <si>
    <t>Командировочные</t>
  </si>
  <si>
    <t>Аммортизация ОС и НМА</t>
  </si>
  <si>
    <t>Судебные издержки</t>
  </si>
  <si>
    <t>Спонсорские расходы</t>
  </si>
  <si>
    <t>Банк ГО</t>
  </si>
  <si>
    <t>Банк РФ</t>
  </si>
  <si>
    <t>Налоги</t>
  </si>
  <si>
    <t>Членские взносы</t>
  </si>
  <si>
    <t>Прочие расходы</t>
  </si>
  <si>
    <t>Прочие услуги</t>
  </si>
  <si>
    <t>по бюджету</t>
  </si>
  <si>
    <t>Услуги ГПЗ</t>
  </si>
  <si>
    <t>Товары ГПЗ кроме ОС и НМА</t>
  </si>
  <si>
    <t>Добровольное страхование микроавтобусов</t>
  </si>
  <si>
    <t>581 У</t>
  </si>
  <si>
    <t>80.10.13</t>
  </si>
  <si>
    <t xml:space="preserve">Охрана помещения и организация контрольно-пропускного режима </t>
  </si>
  <si>
    <t>Расходы на охрану имущества</t>
  </si>
  <si>
    <t xml:space="preserve">Оплата услуг сторожей, стоянки и др. расходы по охране  имущества, переходящего в собственность Фонда </t>
  </si>
  <si>
    <t>582 У</t>
  </si>
  <si>
    <t xml:space="preserve">  в течение 12 месяцев с даты подписания договора</t>
  </si>
  <si>
    <t>январь-февраль, март</t>
  </si>
  <si>
    <t>март-апрель, май</t>
  </si>
  <si>
    <t>август</t>
  </si>
  <si>
    <t>сентябрь-октябрь, ноябрь-декабрь</t>
  </si>
  <si>
    <t>январь-февраль, март-апрель, май-июнь, июль-август, сентябрь-октябрь, ноябрь-декабрь</t>
  </si>
  <si>
    <t>июнь-июль, август</t>
  </si>
  <si>
    <t>февраль-март, апрель-май, июнь-июль, август-сентябрь, октябрь-ноябрь, декабрь</t>
  </si>
  <si>
    <t xml:space="preserve">с даты подписания договора по декабрь </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</si>
  <si>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</si>
  <si>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</si>
  <si>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</si>
  <si>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</si>
  <si>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Алматы,ул. Гоголя, 112</t>
  </si>
  <si>
    <t>583 У</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</si>
  <si>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</si>
  <si>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</si>
  <si>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июнь-август</t>
  </si>
  <si>
    <t>Брендированная фирменная корпоративная продукция (ежедневники, блокноты, ручки, папки, визитницы, бэйджи, флэш-карты и др.)</t>
  </si>
  <si>
    <t>с даты подписания договора по 31.12.2011 г.</t>
  </si>
  <si>
    <t>июнь-июль, авгус-сентябрь, октябрь</t>
  </si>
  <si>
    <t>март-апрель, май-июнь, июль</t>
  </si>
  <si>
    <t>с даты подписания по сентябрь</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</si>
  <si>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</si>
  <si>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</si>
  <si>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</si>
  <si>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</si>
  <si>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</si>
  <si>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 xml:space="preserve">Валик </t>
  </si>
  <si>
    <t xml:space="preserve">Кисть </t>
  </si>
  <si>
    <t xml:space="preserve">Набор сверел </t>
  </si>
  <si>
    <t>двухжильный</t>
  </si>
  <si>
    <t>комплет</t>
  </si>
  <si>
    <t xml:space="preserve">Шуруп </t>
  </si>
  <si>
    <t>для Г/К, металлический</t>
  </si>
  <si>
    <t>для крепления, металлический</t>
  </si>
  <si>
    <t xml:space="preserve">Дизтопливо </t>
  </si>
  <si>
    <t>Дизтопливо для микроавтобусов (зимнее, летнее)</t>
  </si>
  <si>
    <t>с даты подписания договора по 31.12.2012 г.</t>
  </si>
  <si>
    <t>пластмассовая, канцелярская 30 см</t>
  </si>
  <si>
    <t xml:space="preserve">А4, пластиковый - красный </t>
  </si>
  <si>
    <t>для бумаг и мусора, пластмассовая</t>
  </si>
  <si>
    <t>Услуги по  ремонту и техобслуживанию лифта</t>
  </si>
  <si>
    <t>35 вазонов ( диаметром-80 см), посадка однолетних саженцев</t>
  </si>
  <si>
    <t>с даты подписания договора по октябрь 2012г.</t>
  </si>
  <si>
    <t>Алматы, ул. Гоголя, 111</t>
  </si>
  <si>
    <t xml:space="preserve">Оказание услуги в течение 12 месяцев </t>
  </si>
  <si>
    <t>февраль-март, апрель, октябрь-ноябрь, декабрь</t>
  </si>
  <si>
    <t>январь-февраль, апрель-май, июнь-июль, август-сентябрь, октябрь</t>
  </si>
  <si>
    <t>апрель-май, июнь</t>
  </si>
  <si>
    <t>январь, март, май, июль, сентябрь, ноябрь</t>
  </si>
  <si>
    <t>Доска-флипчарт</t>
  </si>
  <si>
    <t>филиал по г. Алматы</t>
  </si>
  <si>
    <t>февраль-март, апрель</t>
  </si>
  <si>
    <t xml:space="preserve">апрель-май </t>
  </si>
  <si>
    <t>март-июнь</t>
  </si>
  <si>
    <t>февраль-март, апрель-май</t>
  </si>
  <si>
    <t>с даты подписания договора по июль 2012г.</t>
  </si>
  <si>
    <t>с даты подписания договора по декабрь</t>
  </si>
  <si>
    <t>июнь-июль, август-сентябрь, октябрь-ноябрь,  декабрь</t>
  </si>
  <si>
    <t>с даты подписания договора по ноябрь 2012г.</t>
  </si>
  <si>
    <t>апрель-май, июнь-июль, август-сентябрь, октябрь</t>
  </si>
  <si>
    <t>апрель-май, июнь, июль-август, сентябрь-октябрь</t>
  </si>
  <si>
    <t>План закупок товаров, работ и услуг на  2012 год  по АО "Фонд развития предпринимательства "Даму"</t>
  </si>
  <si>
    <t>94.11.10</t>
  </si>
  <si>
    <t>82.91.11</t>
  </si>
  <si>
    <t>Приложение к приказу № 161-п от 23.12.2011г.</t>
  </si>
  <si>
    <t>Исполнитель: Главный менеджер Административного департамента Исмагулов Г.К. тел. 2445566 вн. 1102</t>
  </si>
  <si>
    <t>584 У</t>
  </si>
  <si>
    <t>Мангистауская область, г. Жанаозен</t>
  </si>
  <si>
    <t>585 У</t>
  </si>
  <si>
    <t>Услуги по перевозке грузов</t>
  </si>
  <si>
    <t xml:space="preserve">Доставка ж/д и автотранспортом грузов от двери до двери  </t>
  </si>
  <si>
    <t>586 У</t>
  </si>
  <si>
    <t xml:space="preserve"> с января по 30.06.2012г.</t>
  </si>
  <si>
    <t>Абонплата и подключение телефонного номера</t>
  </si>
  <si>
    <t>696 Т</t>
  </si>
  <si>
    <t>Маршрутизатор Cisco 2811</t>
  </si>
  <si>
    <t>Маршрутизатор с функциями маршрутизатора доступа и маршрутизатора локальной сети, центра IP-телефонии</t>
  </si>
  <si>
    <t>535-1Т</t>
  </si>
  <si>
    <t>20, 21</t>
  </si>
  <si>
    <t>537-1Т</t>
  </si>
  <si>
    <t>538-1Т</t>
  </si>
  <si>
    <t>539-1Т</t>
  </si>
  <si>
    <t>18, 20, 21</t>
  </si>
  <si>
    <t>540-1Т</t>
  </si>
  <si>
    <t>541-1Т</t>
  </si>
  <si>
    <t>542-1Т</t>
  </si>
  <si>
    <t>543-1Т</t>
  </si>
  <si>
    <t>544-1Т</t>
  </si>
  <si>
    <t>545-1Т</t>
  </si>
  <si>
    <t>546-1Т</t>
  </si>
  <si>
    <t>547-1Т</t>
  </si>
  <si>
    <t>548-1Т</t>
  </si>
  <si>
    <t>549-1Т</t>
  </si>
  <si>
    <t>550-1Т</t>
  </si>
  <si>
    <t>551-1Т</t>
  </si>
  <si>
    <t>552-1Т</t>
  </si>
  <si>
    <t>553-1Т</t>
  </si>
  <si>
    <t>554-1Т</t>
  </si>
  <si>
    <t>555-1Т</t>
  </si>
  <si>
    <t>288-1У</t>
  </si>
  <si>
    <t>289-1У</t>
  </si>
  <si>
    <t>11-1 Т</t>
  </si>
  <si>
    <t>12-1Т</t>
  </si>
  <si>
    <t>26-1Т</t>
  </si>
  <si>
    <t>697 Т</t>
  </si>
  <si>
    <t>Приобретение квартир для сотрудников</t>
  </si>
  <si>
    <t>май</t>
  </si>
  <si>
    <t>68.10.11</t>
  </si>
  <si>
    <t>66.19.91</t>
  </si>
  <si>
    <t>9-1 Т</t>
  </si>
  <si>
    <t>10-1 Т</t>
  </si>
  <si>
    <t>17-1 Т</t>
  </si>
  <si>
    <t>26-2Т</t>
  </si>
  <si>
    <t>10,11,12,14</t>
  </si>
  <si>
    <t>678-1 Т</t>
  </si>
  <si>
    <t>679-1 Т</t>
  </si>
  <si>
    <t>696-1 Т</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</si>
  <si>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</si>
  <si>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</si>
  <si>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</si>
  <si>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</si>
  <si>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</si>
  <si>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</si>
  <si>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</si>
  <si>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</si>
  <si>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</si>
  <si>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</si>
  <si>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</si>
  <si>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</si>
  <si>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</si>
  <si>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</si>
  <si>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</si>
  <si>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</si>
  <si>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703 Т</t>
  </si>
  <si>
    <t>Рассеиватель для вспышки</t>
  </si>
  <si>
    <t>Рассеиватель для вспышек зеркальных камер Canon, позволяет смягчить жесткий световой поток от вспышки</t>
  </si>
  <si>
    <t>704 Т</t>
  </si>
  <si>
    <t>Средство для очистки линзы</t>
  </si>
  <si>
    <t xml:space="preserve">Карандаш для очистки оптики для очистки оптических линз диаметром от 13 мм и больше. </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</si>
  <si>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</si>
  <si>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</si>
  <si>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</si>
  <si>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</si>
  <si>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</si>
  <si>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</si>
  <si>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</si>
  <si>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143-1 У</t>
  </si>
  <si>
    <t>144-1 У</t>
  </si>
  <si>
    <t>232-1 У</t>
  </si>
  <si>
    <t>240-1 У</t>
  </si>
  <si>
    <t>250-1 У</t>
  </si>
  <si>
    <t>256-1 У</t>
  </si>
  <si>
    <t>261-1 У</t>
  </si>
  <si>
    <t>262-1 У</t>
  </si>
  <si>
    <t>263-1 У</t>
  </si>
  <si>
    <t>265-1 У</t>
  </si>
  <si>
    <t>авансовый платеж - 0%, оставшаяся часть ежеквартально в течение 10 рабочих дней с момента подписания актов оказанных услуг</t>
  </si>
  <si>
    <t>268-1 У</t>
  </si>
  <si>
    <t>273-1 У</t>
  </si>
  <si>
    <t>285-1 У</t>
  </si>
  <si>
    <t>286-1 У</t>
  </si>
  <si>
    <t>июнь, июль, август</t>
  </si>
  <si>
    <t>497-1 У</t>
  </si>
  <si>
    <t>498-1 У</t>
  </si>
  <si>
    <t>514-1 У</t>
  </si>
  <si>
    <t>май-июнь, июль</t>
  </si>
  <si>
    <t>5,11,14</t>
  </si>
  <si>
    <t>535-1 У</t>
  </si>
  <si>
    <t xml:space="preserve">Разработка и изготовление рекламных  плакатов  формата А2 </t>
  </si>
  <si>
    <t>553-1 У</t>
  </si>
  <si>
    <t>572-1 У</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</si>
  <si>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</si>
  <si>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</si>
  <si>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</si>
  <si>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</si>
  <si>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</si>
  <si>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</si>
  <si>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</si>
  <si>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</si>
  <si>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</si>
  <si>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</si>
  <si>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</si>
  <si>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</si>
  <si>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</si>
  <si>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</si>
  <si>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</si>
  <si>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</si>
  <si>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декабрь</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</si>
  <si>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</si>
  <si>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</si>
  <si>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Услуги по созданию рекламного видеоролика по проекту «Деловые связи»</t>
  </si>
  <si>
    <t>595У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</si>
  <si>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</si>
  <si>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</si>
  <si>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</si>
  <si>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</si>
  <si>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</si>
  <si>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</si>
  <si>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</si>
  <si>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</si>
  <si>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</si>
  <si>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</si>
  <si>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</si>
  <si>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</si>
  <si>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</si>
  <si>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</si>
  <si>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</si>
  <si>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220-1 Т</t>
  </si>
  <si>
    <t>224-1Т</t>
  </si>
  <si>
    <t>20-1 У</t>
  </si>
  <si>
    <t>март-декабрь</t>
  </si>
  <si>
    <t>232-2 У</t>
  </si>
  <si>
    <t>354-1 У</t>
  </si>
  <si>
    <t xml:space="preserve"> с марта по 31.12.2012г.</t>
  </si>
  <si>
    <t>498-2 У</t>
  </si>
  <si>
    <t>573-1 У</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</si>
  <si>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</si>
  <si>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</si>
  <si>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</si>
  <si>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</si>
  <si>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</si>
  <si>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</si>
  <si>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</si>
  <si>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</si>
  <si>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</si>
  <si>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</si>
  <si>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</si>
  <si>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</si>
  <si>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</si>
  <si>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</si>
  <si>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</si>
  <si>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</si>
  <si>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</si>
  <si>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Услуги по косметическому ремонту</t>
  </si>
  <si>
    <t>покраска стен, потолка водоимульсионной , силиконовой моющей краской</t>
  </si>
  <si>
    <t>22.23.14</t>
  </si>
  <si>
    <t>41.00.30</t>
  </si>
  <si>
    <t>11, 14</t>
  </si>
  <si>
    <t>9-2 Т</t>
  </si>
  <si>
    <t>10-2 Т</t>
  </si>
  <si>
    <t>11, 18, 21</t>
  </si>
  <si>
    <t>12-2Т</t>
  </si>
  <si>
    <t>Шкаф коммутационный настенный, напольный, материал изготовления -  металл/стекло</t>
  </si>
  <si>
    <t>202-1 Т</t>
  </si>
  <si>
    <t>203-1 Т</t>
  </si>
  <si>
    <t>699-1 Т</t>
  </si>
  <si>
    <t>700-1 Т</t>
  </si>
  <si>
    <t>701-1 Т</t>
  </si>
  <si>
    <t>702-1 Т</t>
  </si>
  <si>
    <t>703-1 Т</t>
  </si>
  <si>
    <t>704-1 Т</t>
  </si>
  <si>
    <t>705-1 Т</t>
  </si>
  <si>
    <t>706-1 Т</t>
  </si>
  <si>
    <t>143-2 У</t>
  </si>
  <si>
    <t>268-2 У</t>
  </si>
  <si>
    <t>март-апрель, май-июнь, июль-август, сентябрь-октябрь, ноябрь-декабрь</t>
  </si>
  <si>
    <t>299-1 У</t>
  </si>
  <si>
    <t>406-1 У</t>
  </si>
  <si>
    <t>26-3Т</t>
  </si>
  <si>
    <t>27-1 Т</t>
  </si>
  <si>
    <t>28-1 Т</t>
  </si>
  <si>
    <t>29-1 Т</t>
  </si>
  <si>
    <t>30-1 Т</t>
  </si>
  <si>
    <t>31-1 Т</t>
  </si>
  <si>
    <t>август-сентябрь, октябрь</t>
  </si>
  <si>
    <t>32-1 Т</t>
  </si>
  <si>
    <t>33-1 Т</t>
  </si>
  <si>
    <t>34-1 Т</t>
  </si>
  <si>
    <t>35-1 Т</t>
  </si>
  <si>
    <t>11,14,18,21</t>
  </si>
  <si>
    <t>58-1 Т</t>
  </si>
  <si>
    <t>11,14,21</t>
  </si>
  <si>
    <t>59-1 Т</t>
  </si>
  <si>
    <t>60-1 Т</t>
  </si>
  <si>
    <t>61-1 Т</t>
  </si>
  <si>
    <t>62-1 Т</t>
  </si>
  <si>
    <t>5,11,14,18,21</t>
  </si>
  <si>
    <t>214-1 Т</t>
  </si>
  <si>
    <t>размер шин 235/65R17, 205/60R16</t>
  </si>
  <si>
    <t>707Т</t>
  </si>
  <si>
    <t>708Т</t>
  </si>
  <si>
    <t>Многофункциональный копировальный аппарат</t>
  </si>
  <si>
    <t>Лазерный копир - принтер – сканер, Формата А3</t>
  </si>
  <si>
    <t>апрель - май</t>
  </si>
  <si>
    <t>май - июнь</t>
  </si>
  <si>
    <t>709Т</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</si>
  <si>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</si>
  <si>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</si>
  <si>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</si>
  <si>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</si>
  <si>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</si>
  <si>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</si>
  <si>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28.23.21</t>
  </si>
  <si>
    <t>6-1 У</t>
  </si>
  <si>
    <t>11-1 У</t>
  </si>
  <si>
    <t>апрель-май, июнь-июль, август-сентябрь, октябрь-ноябрь, декабрь</t>
  </si>
  <si>
    <t>14-1 У</t>
  </si>
  <si>
    <t>июнь-июль, август-сентябрь</t>
  </si>
  <si>
    <t>15-1 У</t>
  </si>
  <si>
    <t>24-1 У</t>
  </si>
  <si>
    <t>178-1 У</t>
  </si>
  <si>
    <t>247-1 У</t>
  </si>
  <si>
    <t>442-1 У</t>
  </si>
  <si>
    <t xml:space="preserve">июнь-июль </t>
  </si>
  <si>
    <t>484-1 У</t>
  </si>
  <si>
    <t>592 У</t>
  </si>
  <si>
    <t>592-1 У</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</si>
  <si>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</si>
  <si>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</si>
  <si>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</si>
  <si>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</si>
  <si>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</si>
  <si>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</si>
  <si>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</si>
  <si>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</si>
  <si>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</si>
  <si>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</si>
  <si>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</si>
  <si>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</si>
  <si>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</si>
  <si>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</si>
  <si>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</si>
  <si>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</si>
  <si>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</si>
  <si>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</si>
  <si>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</si>
  <si>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</si>
  <si>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</si>
  <si>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</si>
  <si>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</si>
  <si>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</si>
  <si>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</si>
  <si>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</si>
  <si>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</si>
  <si>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</si>
  <si>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625 У</t>
  </si>
  <si>
    <t>626 У</t>
  </si>
  <si>
    <t>627 У</t>
  </si>
  <si>
    <t>628 У</t>
  </si>
  <si>
    <t>629 У</t>
  </si>
  <si>
    <t>630 У</t>
  </si>
  <si>
    <t>631 У</t>
  </si>
  <si>
    <t>632 У</t>
  </si>
  <si>
    <t>633 У</t>
  </si>
  <si>
    <t>634 У</t>
  </si>
  <si>
    <t>635 У</t>
  </si>
  <si>
    <t>636 У</t>
  </si>
  <si>
    <t>637 У</t>
  </si>
  <si>
    <t>638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</si>
  <si>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</si>
  <si>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</si>
  <si>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</si>
  <si>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</si>
  <si>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</si>
  <si>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</si>
  <si>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36 Т</t>
  </si>
  <si>
    <t>37 Т</t>
  </si>
  <si>
    <t>38 Т</t>
  </si>
  <si>
    <t>900*460*1984, ламинированное ДСП</t>
  </si>
  <si>
    <t>39 Т</t>
  </si>
  <si>
    <t xml:space="preserve"> На метал. ножках, 1600*1200*720</t>
  </si>
  <si>
    <t>40 Т</t>
  </si>
  <si>
    <t>кожанное, с деревянным/хромовым подлокотниками</t>
  </si>
  <si>
    <t>57000</t>
  </si>
  <si>
    <t>1-1 Т</t>
  </si>
  <si>
    <t xml:space="preserve">июнь </t>
  </si>
  <si>
    <t xml:space="preserve">2-1 Т </t>
  </si>
  <si>
    <t>3-1 Т</t>
  </si>
  <si>
    <t>4-1 Т</t>
  </si>
  <si>
    <t>5-1 Т</t>
  </si>
  <si>
    <t>6-1 Т</t>
  </si>
  <si>
    <t>7-1 Т</t>
  </si>
  <si>
    <t>11-2 Т</t>
  </si>
  <si>
    <t>13-1 Т</t>
  </si>
  <si>
    <t>18-1 Т</t>
  </si>
  <si>
    <t>19-1 Т</t>
  </si>
  <si>
    <t>20-1 Т</t>
  </si>
  <si>
    <t>21-1 Т</t>
  </si>
  <si>
    <t>22-1 Т</t>
  </si>
  <si>
    <t>23-1 Т</t>
  </si>
  <si>
    <t>24-1 Т</t>
  </si>
  <si>
    <t>25-1 Т</t>
  </si>
  <si>
    <t>196-1 Т</t>
  </si>
  <si>
    <t>204-1 Т</t>
  </si>
  <si>
    <t>205-1 Т</t>
  </si>
  <si>
    <t>206-1 Т</t>
  </si>
  <si>
    <t>207-1 Т</t>
  </si>
  <si>
    <t>208-1 Т</t>
  </si>
  <si>
    <t>209-1 Т</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</si>
  <si>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</si>
  <si>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</si>
  <si>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</si>
  <si>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</si>
  <si>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</si>
  <si>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</si>
  <si>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</si>
  <si>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</si>
  <si>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</si>
  <si>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</si>
  <si>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</si>
  <si>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</si>
  <si>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</si>
  <si>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</si>
  <si>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16-1 У</t>
  </si>
  <si>
    <t xml:space="preserve"> с мая по 31.12.2012г.</t>
  </si>
  <si>
    <t>17-1 У</t>
  </si>
  <si>
    <t>56-1 У</t>
  </si>
  <si>
    <t>131-1 У</t>
  </si>
  <si>
    <t>с июля по 31.12.2012г.</t>
  </si>
  <si>
    <t>141-1 У</t>
  </si>
  <si>
    <t>148-1 У</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</si>
  <si>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</si>
  <si>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</si>
  <si>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</si>
  <si>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</si>
  <si>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201-1 У</t>
  </si>
  <si>
    <t>202-1 У</t>
  </si>
  <si>
    <t>203-1 У</t>
  </si>
  <si>
    <t>204-1 У</t>
  </si>
  <si>
    <t>205-1 У</t>
  </si>
  <si>
    <t>206-1 У</t>
  </si>
  <si>
    <t>207-1 У</t>
  </si>
  <si>
    <t>208-1 У</t>
  </si>
  <si>
    <t>209-1 У</t>
  </si>
  <si>
    <t>210-1 У</t>
  </si>
  <si>
    <t>211-1 У</t>
  </si>
  <si>
    <t>212-1 У</t>
  </si>
  <si>
    <t>213-1 У</t>
  </si>
  <si>
    <t>214-1 У</t>
  </si>
  <si>
    <t>215-1 У</t>
  </si>
  <si>
    <t>219-1 У</t>
  </si>
  <si>
    <t>286-2 У</t>
  </si>
  <si>
    <t>323-1 У</t>
  </si>
  <si>
    <t>440-1 У</t>
  </si>
  <si>
    <t>445-1 У</t>
  </si>
  <si>
    <t>463-1 У</t>
  </si>
  <si>
    <t>январь,март,апрель-май,июнь-июль,август-сентябрь,октябрь-ноябрь, декабрь</t>
  </si>
  <si>
    <t>481-1 У</t>
  </si>
  <si>
    <t>апрель-май-июнь</t>
  </si>
  <si>
    <t>482-1 У</t>
  </si>
  <si>
    <t>483-1 У</t>
  </si>
  <si>
    <t>484-2 У</t>
  </si>
  <si>
    <t>485-1 У</t>
  </si>
  <si>
    <t>486-1 У</t>
  </si>
  <si>
    <t>487-1 У</t>
  </si>
  <si>
    <t>488-1 У</t>
  </si>
  <si>
    <t>489-1 У</t>
  </si>
  <si>
    <t>490-1 У</t>
  </si>
  <si>
    <t>491-1 У</t>
  </si>
  <si>
    <t>492-1 У</t>
  </si>
  <si>
    <t>493-1 У</t>
  </si>
  <si>
    <t>494-1 У</t>
  </si>
  <si>
    <t>495-1 У</t>
  </si>
  <si>
    <t>496-1 У</t>
  </si>
  <si>
    <t>499-1 У</t>
  </si>
  <si>
    <t>500-1 У</t>
  </si>
  <si>
    <t>501-1 У</t>
  </si>
  <si>
    <t>502-1 У</t>
  </si>
  <si>
    <t>503-1 У</t>
  </si>
  <si>
    <t>504-1 У</t>
  </si>
  <si>
    <t>505-1 У</t>
  </si>
  <si>
    <t>506-1 У</t>
  </si>
  <si>
    <t>507-1 У</t>
  </si>
  <si>
    <t>508-1 У</t>
  </si>
  <si>
    <t>509-1 У</t>
  </si>
  <si>
    <t>510-1 У</t>
  </si>
  <si>
    <t>511-1 У</t>
  </si>
  <si>
    <t>512-1 У</t>
  </si>
  <si>
    <t>513-1 У</t>
  </si>
  <si>
    <t>517-1 У</t>
  </si>
  <si>
    <t>518-1 У</t>
  </si>
  <si>
    <t>519-1 У</t>
  </si>
  <si>
    <t>520-1 У</t>
  </si>
  <si>
    <t>521-1 У</t>
  </si>
  <si>
    <t>522-1 У</t>
  </si>
  <si>
    <t>523-1 У</t>
  </si>
  <si>
    <t>524-1 У</t>
  </si>
  <si>
    <t>525-1 У</t>
  </si>
  <si>
    <t>526-1 У</t>
  </si>
  <si>
    <t>527-1 У</t>
  </si>
  <si>
    <t>528-1 У</t>
  </si>
  <si>
    <t>529-1 У</t>
  </si>
  <si>
    <t>530-1 У</t>
  </si>
  <si>
    <t>531-1 У</t>
  </si>
  <si>
    <t>532-1 У</t>
  </si>
  <si>
    <t>533-1 У</t>
  </si>
  <si>
    <t>581-1 У</t>
  </si>
  <si>
    <t>589 У</t>
  </si>
  <si>
    <t>589-1 У</t>
  </si>
  <si>
    <t>593 У</t>
  </si>
  <si>
    <t>593-1 У</t>
  </si>
  <si>
    <t>594 У</t>
  </si>
  <si>
    <t>594-1 У</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</si>
  <si>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</si>
  <si>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</si>
  <si>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</si>
  <si>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</si>
  <si>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</si>
  <si>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</si>
  <si>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</si>
  <si>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</si>
  <si>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</si>
  <si>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</si>
  <si>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</si>
  <si>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с июня до 01.04.2013 г.</t>
  </si>
  <si>
    <t>с изменениями и дополнениями от 24.04.2012</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</si>
</sst>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_(* #,##0_);_(* \(#,##0\);_(* &quot;-&quot;??_);_(@_)"/>
    <numFmt numFmtId="166" formatCode="dd/mm/yy;@"/>
    <numFmt numFmtId="167" formatCode="dd\.mm\.yy;@"/>
  </numFmts>
  <fonts count="28">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8"/>
      <name val="Arial"/>
      <family val="2"/>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2"/>
      <color indexed="8"/>
      <name val="Times New Roman"/>
      <family val="1"/>
      <charset val="204"/>
    </font>
    <font>
      <i/>
      <sz val="12"/>
      <name val="Arial Cyr"/>
      <charset val="204"/>
    </font>
    <font>
      <b/>
      <i/>
      <sz val="12"/>
      <color indexed="8"/>
      <name val="Times New Roman"/>
      <family val="1"/>
      <charset val="204"/>
    </font>
    <font>
      <b/>
      <sz val="12"/>
      <color indexed="10"/>
      <name val="Times New Roman"/>
      <family val="1"/>
      <charset val="204"/>
    </font>
    <font>
      <u/>
      <sz val="12"/>
      <name val="Times New Roman"/>
      <family val="1"/>
      <charset val="204"/>
    </font>
    <font>
      <u/>
      <sz val="12"/>
      <color indexed="10"/>
      <name val="Times New Roman"/>
      <family val="1"/>
      <charset val="204"/>
    </font>
    <font>
      <b/>
      <sz val="12"/>
      <color indexed="16"/>
      <name val="Times New Roman"/>
      <family val="1"/>
      <charset val="204"/>
    </font>
    <font>
      <sz val="12"/>
      <color indexed="10"/>
      <name val="Arial Cyr"/>
      <charset val="204"/>
    </font>
    <font>
      <i/>
      <sz val="12"/>
      <name val="Times New Roman"/>
      <family val="1"/>
      <charset val="204"/>
    </font>
    <font>
      <b/>
      <u/>
      <sz val="12"/>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
      <b/>
      <i/>
      <sz val="10"/>
      <name val="Times New Roman"/>
      <family val="1"/>
      <charset val="204"/>
    </font>
    <font>
      <b/>
      <sz val="10"/>
      <name val="Arial"/>
      <family val="2"/>
      <charset val="204"/>
    </font>
    <font>
      <sz val="10"/>
      <color theme="0"/>
      <name val="Times New Roman"/>
      <family val="1"/>
      <charset val="204"/>
    </font>
  </fonts>
  <fills count="5">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xf numFmtId="0" fontId="1" fillId="0" borderId="0"/>
  </cellStyleXfs>
  <cellXfs count="235">
    <xf numFmtId="0" fontId="0" fillId="0" borderId="0" xfId="0"/>
    <xf numFmtId="0" fontId="9" fillId="0" borderId="0" xfId="2" applyFont="1"/>
    <xf numFmtId="0" fontId="9" fillId="0" borderId="0" xfId="2" applyFont="1" applyBorder="1" applyAlignment="1"/>
    <xf numFmtId="0" fontId="8" fillId="0" borderId="0" xfId="2" applyFont="1" applyBorder="1" applyAlignment="1"/>
    <xf numFmtId="0" fontId="8" fillId="0" borderId="0" xfId="2" applyFont="1" applyBorder="1" applyAlignment="1">
      <alignment horizontal="center"/>
    </xf>
    <xf numFmtId="0" fontId="9" fillId="0" borderId="0" xfId="2" applyFont="1" applyBorder="1" applyAlignment="1">
      <alignment horizontal="center"/>
    </xf>
    <xf numFmtId="0" fontId="9" fillId="0" borderId="0" xfId="2" applyFont="1" applyAlignment="1">
      <alignment horizontal="left"/>
    </xf>
    <xf numFmtId="0" fontId="10" fillId="0" borderId="0" xfId="2" applyFont="1"/>
    <xf numFmtId="0" fontId="9" fillId="0" borderId="0" xfId="2" applyFont="1" applyBorder="1" applyAlignment="1">
      <alignment horizontal="right"/>
    </xf>
    <xf numFmtId="0" fontId="8" fillId="0" borderId="0" xfId="2" applyFont="1"/>
    <xf numFmtId="0" fontId="8" fillId="0" borderId="0" xfId="2" applyFont="1" applyBorder="1" applyAlignment="1">
      <alignment horizontal="right"/>
    </xf>
    <xf numFmtId="0" fontId="8" fillId="0" borderId="0" xfId="2" applyFont="1" applyBorder="1"/>
    <xf numFmtId="0" fontId="13" fillId="0" borderId="0" xfId="2" applyFont="1"/>
    <xf numFmtId="0" fontId="14" fillId="0" borderId="1" xfId="2" applyFont="1" applyBorder="1" applyAlignment="1">
      <alignment horizontal="center" vertical="top" wrapText="1"/>
    </xf>
    <xf numFmtId="0" fontId="8" fillId="0" borderId="1" xfId="2" applyFont="1" applyBorder="1" applyAlignment="1">
      <alignment horizontal="left"/>
    </xf>
    <xf numFmtId="0" fontId="8" fillId="0" borderId="2" xfId="2" applyFont="1" applyBorder="1" applyAlignment="1">
      <alignment horizontal="left"/>
    </xf>
    <xf numFmtId="0" fontId="9" fillId="0" borderId="1" xfId="2" applyFont="1" applyBorder="1" applyAlignment="1">
      <alignment horizontal="left"/>
    </xf>
    <xf numFmtId="3" fontId="8" fillId="0" borderId="2" xfId="2" applyNumberFormat="1" applyFont="1" applyBorder="1" applyAlignment="1">
      <alignment horizontal="left"/>
    </xf>
    <xf numFmtId="0" fontId="9" fillId="0" borderId="1" xfId="2" applyFont="1" applyBorder="1" applyAlignment="1">
      <alignment horizontal="center"/>
    </xf>
    <xf numFmtId="0" fontId="9" fillId="0" borderId="2" xfId="2" applyFont="1" applyBorder="1" applyAlignment="1">
      <alignment horizontal="center"/>
    </xf>
    <xf numFmtId="0" fontId="10" fillId="0" borderId="1" xfId="2" applyFont="1" applyBorder="1"/>
    <xf numFmtId="0" fontId="8" fillId="0" borderId="1" xfId="2" applyFont="1" applyBorder="1" applyAlignment="1">
      <alignment horizontal="center"/>
    </xf>
    <xf numFmtId="0" fontId="10" fillId="0" borderId="0" xfId="2" applyFont="1" applyBorder="1"/>
    <xf numFmtId="0" fontId="9" fillId="0" borderId="0" xfId="2" applyFont="1" applyBorder="1" applyAlignment="1">
      <alignment wrapText="1"/>
    </xf>
    <xf numFmtId="0" fontId="9" fillId="0" borderId="0" xfId="2" applyFont="1" applyBorder="1"/>
    <xf numFmtId="0" fontId="15" fillId="0" borderId="0" xfId="2" applyFont="1"/>
    <xf numFmtId="0" fontId="16" fillId="0" borderId="0" xfId="2" applyFont="1"/>
    <xf numFmtId="0" fontId="17" fillId="0" borderId="0" xfId="2" applyFont="1"/>
    <xf numFmtId="0" fontId="8" fillId="0" borderId="0" xfId="2" applyFont="1" applyBorder="1" applyAlignment="1">
      <alignment horizontal="left"/>
    </xf>
    <xf numFmtId="0" fontId="18" fillId="0" borderId="0" xfId="2" applyFont="1" applyBorder="1" applyAlignment="1">
      <alignment horizontal="left"/>
    </xf>
    <xf numFmtId="49" fontId="8" fillId="0" borderId="0" xfId="2" applyNumberFormat="1" applyFont="1" applyAlignment="1">
      <alignment horizontal="center"/>
    </xf>
    <xf numFmtId="0" fontId="8" fillId="0" borderId="0" xfId="2" applyFont="1" applyAlignment="1">
      <alignment horizontal="center"/>
    </xf>
    <xf numFmtId="0" fontId="9" fillId="0" borderId="0" xfId="2" applyFont="1" applyFill="1" applyAlignment="1">
      <alignment horizontal="left"/>
    </xf>
    <xf numFmtId="0" fontId="9" fillId="0" borderId="0" xfId="2" applyFont="1" applyAlignment="1">
      <alignment horizontal="left" wrapText="1"/>
    </xf>
    <xf numFmtId="0" fontId="19" fillId="0" borderId="0" xfId="2" applyFont="1"/>
    <xf numFmtId="0" fontId="8" fillId="0" borderId="0" xfId="2" applyFont="1" applyAlignment="1">
      <alignment horizontal="left"/>
    </xf>
    <xf numFmtId="0" fontId="8" fillId="0" borderId="0" xfId="2" applyFont="1" applyBorder="1" applyAlignment="1">
      <alignment wrapText="1"/>
    </xf>
    <xf numFmtId="0" fontId="20" fillId="0" borderId="0" xfId="2" applyFont="1"/>
    <xf numFmtId="0" fontId="9" fillId="0" borderId="1" xfId="2" applyFont="1" applyBorder="1"/>
    <xf numFmtId="0" fontId="9" fillId="0" borderId="0" xfId="2" applyFont="1" applyAlignment="1">
      <alignment horizontal="center"/>
    </xf>
    <xf numFmtId="0" fontId="9" fillId="0" borderId="1" xfId="2" applyFont="1" applyBorder="1" applyAlignment="1">
      <alignment horizontal="left" wrapText="1"/>
    </xf>
    <xf numFmtId="0" fontId="9" fillId="0" borderId="1" xfId="2" applyFont="1" applyBorder="1" applyAlignment="1">
      <alignment horizontal="center" wrapText="1"/>
    </xf>
    <xf numFmtId="0" fontId="9" fillId="0" borderId="2" xfId="2" applyFont="1" applyBorder="1" applyAlignment="1">
      <alignment horizontal="center" wrapText="1"/>
    </xf>
    <xf numFmtId="0" fontId="9" fillId="0" borderId="1" xfId="2" applyFont="1" applyBorder="1" applyAlignment="1">
      <alignmen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3" xfId="2" applyFont="1" applyBorder="1"/>
    <xf numFmtId="0" fontId="12" fillId="0" borderId="1" xfId="2" applyFont="1" applyBorder="1" applyAlignment="1">
      <alignment horizontal="center" vertical="top" wrapText="1"/>
    </xf>
    <xf numFmtId="0" fontId="12" fillId="0" borderId="4" xfId="2" applyFont="1" applyBorder="1" applyAlignment="1">
      <alignment horizontal="center" vertical="top" wrapText="1"/>
    </xf>
    <xf numFmtId="0" fontId="12" fillId="0" borderId="5" xfId="2" applyFont="1" applyBorder="1" applyAlignment="1">
      <alignment horizontal="center" vertical="top" wrapText="1"/>
    </xf>
    <xf numFmtId="0" fontId="8" fillId="0" borderId="0" xfId="2" applyFont="1" applyBorder="1" applyAlignment="1">
      <alignment horizontal="center" vertical="top"/>
    </xf>
    <xf numFmtId="0" fontId="8" fillId="0" borderId="0" xfId="2" applyFont="1" applyAlignment="1">
      <alignment horizontal="center" vertical="top"/>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3" fontId="4" fillId="0" borderId="1" xfId="2" applyNumberFormat="1" applyFont="1" applyFill="1" applyBorder="1" applyAlignment="1">
      <alignment horizontal="center" vertical="center"/>
    </xf>
    <xf numFmtId="0" fontId="4" fillId="0" borderId="0" xfId="2"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6" xfId="2" applyFont="1" applyFill="1" applyBorder="1" applyAlignment="1">
      <alignment horizontal="center" vertical="center"/>
    </xf>
    <xf numFmtId="0" fontId="4" fillId="0" borderId="6" xfId="2" applyFont="1" applyFill="1" applyBorder="1" applyAlignment="1">
      <alignment horizontal="center" vertical="center" wrapText="1"/>
    </xf>
    <xf numFmtId="3" fontId="4" fillId="0" borderId="6"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0" xfId="2"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xf numFmtId="0" fontId="4" fillId="0" borderId="0" xfId="2" applyFont="1" applyFill="1"/>
    <xf numFmtId="9" fontId="4" fillId="0" borderId="1"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2" applyFont="1" applyFill="1" applyBorder="1" applyAlignment="1">
      <alignment horizontal="center" vertical="top" wrapText="1"/>
    </xf>
    <xf numFmtId="3" fontId="25" fillId="0" borderId="1" xfId="2" applyNumberFormat="1" applyFont="1" applyFill="1" applyBorder="1" applyAlignment="1">
      <alignment horizontal="center" vertical="top" wrapText="1"/>
    </xf>
    <xf numFmtId="166" fontId="4" fillId="0" borderId="1"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7" xfId="2" applyFont="1" applyFill="1" applyBorder="1" applyAlignment="1">
      <alignment horizontal="center" vertical="center"/>
    </xf>
    <xf numFmtId="0" fontId="4" fillId="0" borderId="7" xfId="0" applyFont="1" applyFill="1" applyBorder="1" applyAlignment="1">
      <alignment horizontal="center" vertical="center"/>
    </xf>
    <xf numFmtId="0" fontId="26" fillId="0" borderId="1" xfId="0" applyFont="1" applyBorder="1"/>
    <xf numFmtId="3" fontId="26" fillId="0" borderId="1" xfId="0" applyNumberFormat="1" applyFont="1" applyBorder="1"/>
    <xf numFmtId="0" fontId="26" fillId="0" borderId="0" xfId="0" applyFont="1"/>
    <xf numFmtId="3" fontId="26" fillId="0" borderId="0" xfId="0" applyNumberFormat="1" applyFont="1"/>
    <xf numFmtId="3" fontId="26" fillId="3" borderId="0" xfId="0" applyNumberFormat="1" applyFont="1" applyFill="1"/>
    <xf numFmtId="0" fontId="24" fillId="0" borderId="0" xfId="2" applyFont="1" applyFill="1" applyAlignment="1">
      <alignment horizontal="center" vertical="center"/>
    </xf>
    <xf numFmtId="0" fontId="5" fillId="0" borderId="15" xfId="2" applyFont="1" applyFill="1" applyBorder="1" applyAlignment="1">
      <alignment horizontal="center" vertical="top" wrapText="1"/>
    </xf>
    <xf numFmtId="3" fontId="1" fillId="0" borderId="0" xfId="0" applyNumberFormat="1" applyFont="1"/>
    <xf numFmtId="0" fontId="1" fillId="0" borderId="0" xfId="0" applyFont="1"/>
    <xf numFmtId="0" fontId="1" fillId="0" borderId="1" xfId="0" applyFont="1" applyBorder="1"/>
    <xf numFmtId="3" fontId="1" fillId="0" borderId="1" xfId="0"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Fill="1"/>
    <xf numFmtId="0" fontId="4" fillId="0" borderId="0" xfId="2" applyFont="1" applyFill="1" applyAlignment="1">
      <alignmen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0" fontId="4" fillId="0" borderId="0" xfId="2" applyFont="1" applyFill="1" applyBorder="1" applyAlignment="1">
      <alignment vertical="top"/>
    </xf>
    <xf numFmtId="0" fontId="5" fillId="0" borderId="0" xfId="2" applyFont="1" applyFill="1" applyBorder="1" applyAlignment="1">
      <alignment vertical="top"/>
    </xf>
    <xf numFmtId="3" fontId="5" fillId="0" borderId="0" xfId="2" applyNumberFormat="1" applyFont="1" applyFill="1" applyBorder="1" applyAlignment="1">
      <alignment horizontal="center" vertical="top"/>
    </xf>
    <xf numFmtId="0" fontId="4" fillId="0" borderId="0"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3" fontId="4" fillId="0" borderId="0" xfId="2" applyNumberFormat="1" applyFont="1" applyFill="1" applyAlignment="1">
      <alignment vertical="top"/>
    </xf>
    <xf numFmtId="0" fontId="5" fillId="0" borderId="0" xfId="2" applyFont="1" applyFill="1" applyBorder="1" applyAlignment="1">
      <alignment horizontal="left" vertical="top"/>
    </xf>
    <xf numFmtId="14" fontId="5" fillId="0" borderId="0" xfId="2" applyNumberFormat="1" applyFont="1" applyFill="1" applyBorder="1" applyAlignment="1">
      <alignment horizontal="left" vertical="top"/>
    </xf>
    <xf numFmtId="3" fontId="5" fillId="0" borderId="0" xfId="2" applyNumberFormat="1" applyFont="1" applyFill="1" applyBorder="1" applyAlignment="1">
      <alignment horizontal="left" vertical="top"/>
    </xf>
    <xf numFmtId="3" fontId="4" fillId="0" borderId="0" xfId="2" applyNumberFormat="1" applyFont="1" applyFill="1" applyBorder="1" applyAlignment="1">
      <alignment vertical="top"/>
    </xf>
    <xf numFmtId="0" fontId="6" fillId="0" borderId="0" xfId="2" applyFont="1" applyFill="1" applyAlignment="1">
      <alignment vertical="top"/>
    </xf>
    <xf numFmtId="0" fontId="4" fillId="0" borderId="1" xfId="2" applyFont="1" applyFill="1" applyBorder="1" applyAlignment="1">
      <alignment horizontal="center" vertical="top"/>
    </xf>
    <xf numFmtId="0" fontId="4" fillId="0" borderId="7" xfId="2"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3" fontId="4" fillId="0" borderId="1" xfId="2" applyNumberFormat="1" applyFont="1" applyFill="1" applyBorder="1" applyAlignment="1">
      <alignment horizontal="center" vertical="top"/>
    </xf>
    <xf numFmtId="0" fontId="4" fillId="0" borderId="0" xfId="2" applyFont="1" applyFill="1" applyAlignment="1">
      <alignment horizontal="center" vertical="top"/>
    </xf>
    <xf numFmtId="0" fontId="4" fillId="0" borderId="1" xfId="2" applyFont="1" applyFill="1" applyBorder="1" applyAlignment="1">
      <alignment vertical="top"/>
    </xf>
    <xf numFmtId="0" fontId="5" fillId="0" borderId="1" xfId="2" applyFont="1" applyFill="1" applyBorder="1" applyAlignment="1">
      <alignment horizontal="left" vertical="top" wrapText="1"/>
    </xf>
    <xf numFmtId="0" fontId="5" fillId="0" borderId="1" xfId="2" applyFont="1" applyFill="1" applyBorder="1" applyAlignment="1">
      <alignment vertical="top" wrapText="1"/>
    </xf>
    <xf numFmtId="3" fontId="5" fillId="0" borderId="1" xfId="2" applyNumberFormat="1" applyFont="1" applyFill="1" applyBorder="1" applyAlignment="1">
      <alignment vertical="top"/>
    </xf>
    <xf numFmtId="0" fontId="4" fillId="0" borderId="0" xfId="2" applyFont="1" applyFill="1" applyAlignment="1">
      <alignment horizontal="left" vertical="top" wrapText="1"/>
    </xf>
    <xf numFmtId="0" fontId="4" fillId="0" borderId="0" xfId="2" applyFont="1" applyFill="1" applyAlignment="1">
      <alignment vertical="top" wrapText="1"/>
    </xf>
    <xf numFmtId="0" fontId="4" fillId="0" borderId="0" xfId="2" applyFont="1" applyFill="1" applyAlignment="1">
      <alignment vertical="center"/>
    </xf>
    <xf numFmtId="0" fontId="4" fillId="0" borderId="1" xfId="2" applyFont="1" applyFill="1" applyBorder="1" applyAlignment="1">
      <alignment vertical="center"/>
    </xf>
    <xf numFmtId="3" fontId="5" fillId="0" borderId="0" xfId="2" applyNumberFormat="1" applyFont="1" applyFill="1" applyBorder="1" applyAlignment="1">
      <alignment vertical="top" wrapText="1"/>
    </xf>
    <xf numFmtId="16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 fontId="4" fillId="0" borderId="1" xfId="8"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0" fontId="24" fillId="0" borderId="7"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3" fontId="24" fillId="0" borderId="1" xfId="2" applyNumberFormat="1" applyFont="1" applyFill="1" applyBorder="1" applyAlignment="1">
      <alignment horizontal="center" vertical="center"/>
    </xf>
    <xf numFmtId="17" fontId="4" fillId="0" borderId="1" xfId="2"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7"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3" fontId="4" fillId="4" borderId="1" xfId="2" applyNumberFormat="1" applyFont="1" applyFill="1" applyBorder="1" applyAlignment="1">
      <alignment horizontal="center" vertical="center"/>
    </xf>
    <xf numFmtId="0" fontId="4" fillId="4" borderId="1" xfId="0" applyFont="1" applyFill="1" applyBorder="1" applyAlignment="1">
      <alignment horizontal="center" vertical="center"/>
    </xf>
    <xf numFmtId="3" fontId="0" fillId="0" borderId="0" xfId="0" applyNumberFormat="1"/>
    <xf numFmtId="49" fontId="4" fillId="4" borderId="1" xfId="2" applyNumberFormat="1" applyFont="1" applyFill="1" applyBorder="1" applyAlignment="1">
      <alignment horizontal="center" vertical="center"/>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1" fillId="0" borderId="0" xfId="0" applyFont="1" applyFill="1"/>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xf>
    <xf numFmtId="0" fontId="5" fillId="0" borderId="1" xfId="2" applyFont="1" applyFill="1" applyBorder="1" applyAlignment="1">
      <alignment vertical="center"/>
    </xf>
    <xf numFmtId="0" fontId="4" fillId="0" borderId="1" xfId="9" applyFont="1" applyFill="1" applyBorder="1" applyAlignment="1">
      <alignment horizontal="center" vertical="top" wrapText="1"/>
    </xf>
    <xf numFmtId="3" fontId="4"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27" fillId="0" borderId="0" xfId="2" applyFont="1" applyFill="1" applyAlignment="1">
      <alignment vertical="top"/>
    </xf>
    <xf numFmtId="3" fontId="27" fillId="0" borderId="0" xfId="2" applyNumberFormat="1" applyFont="1" applyFill="1" applyAlignment="1">
      <alignment vertical="top"/>
    </xf>
    <xf numFmtId="11" fontId="4" fillId="0" borderId="1" xfId="2" applyNumberFormat="1"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5" xfId="2" applyFont="1" applyFill="1" applyBorder="1" applyAlignment="1">
      <alignment horizontal="center" vertical="center" wrapText="1"/>
    </xf>
    <xf numFmtId="3" fontId="4" fillId="0" borderId="0" xfId="2" applyNumberFormat="1" applyFont="1" applyFill="1" applyAlignment="1">
      <alignment horizontal="center" vertical="center"/>
    </xf>
    <xf numFmtId="0" fontId="4" fillId="0" borderId="1" xfId="1"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0" xfId="2" applyFont="1" applyFill="1" applyBorder="1" applyAlignment="1">
      <alignment horizontal="left" vertical="top" shrinkToFit="1"/>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 xfId="2" applyFont="1" applyFill="1" applyBorder="1" applyAlignment="1">
      <alignment vertical="top"/>
    </xf>
    <xf numFmtId="0" fontId="4" fillId="0" borderId="1" xfId="2" applyFont="1" applyFill="1" applyBorder="1" applyAlignment="1">
      <alignment horizontal="left" vertical="center" wrapText="1"/>
    </xf>
    <xf numFmtId="4" fontId="4" fillId="0" borderId="0" xfId="2" applyNumberFormat="1" applyFont="1" applyFill="1" applyAlignment="1">
      <alignment horizontal="center" vertical="center"/>
    </xf>
    <xf numFmtId="43" fontId="4" fillId="0" borderId="0" xfId="2" applyNumberFormat="1" applyFont="1" applyFill="1" applyAlignment="1">
      <alignment horizontal="center" vertical="center"/>
    </xf>
    <xf numFmtId="3" fontId="4" fillId="0" borderId="0" xfId="2" applyNumberFormat="1" applyFont="1" applyFill="1" applyAlignment="1">
      <alignment vertical="center"/>
    </xf>
    <xf numFmtId="3" fontId="5" fillId="0" borderId="0" xfId="2" applyNumberFormat="1" applyFont="1" applyFill="1" applyAlignment="1">
      <alignment vertical="center"/>
    </xf>
    <xf numFmtId="165" fontId="4" fillId="0" borderId="0" xfId="2" applyNumberFormat="1" applyFont="1" applyFill="1" applyAlignment="1">
      <alignment horizontal="center" vertical="center"/>
    </xf>
    <xf numFmtId="0" fontId="1" fillId="0" borderId="1" xfId="0" applyFont="1" applyFill="1" applyBorder="1"/>
    <xf numFmtId="3" fontId="4" fillId="0" borderId="0" xfId="2" applyNumberFormat="1" applyFont="1" applyFill="1" applyAlignment="1">
      <alignment horizontal="center" vertical="top"/>
    </xf>
    <xf numFmtId="0" fontId="5" fillId="0" borderId="1" xfId="2" applyFont="1" applyFill="1" applyBorder="1" applyAlignment="1">
      <alignment vertical="top"/>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3" fontId="5" fillId="0" borderId="9" xfId="2" applyNumberFormat="1" applyFont="1" applyFill="1" applyBorder="1" applyAlignment="1">
      <alignment horizontal="center" vertical="top" wrapText="1"/>
    </xf>
    <xf numFmtId="3" fontId="5" fillId="0" borderId="10" xfId="2" applyNumberFormat="1" applyFont="1" applyFill="1" applyBorder="1" applyAlignment="1">
      <alignment horizontal="center" vertical="top" wrapText="1"/>
    </xf>
    <xf numFmtId="0" fontId="5" fillId="0" borderId="1" xfId="2" applyFont="1" applyFill="1" applyBorder="1" applyAlignment="1">
      <alignment horizontal="left" vertical="center"/>
    </xf>
    <xf numFmtId="0" fontId="1" fillId="0" borderId="1" xfId="0" applyFont="1" applyFill="1" applyBorder="1" applyAlignment="1">
      <alignment horizontal="left" vertical="center"/>
    </xf>
    <xf numFmtId="0" fontId="5" fillId="0" borderId="2" xfId="2" applyFont="1" applyFill="1" applyBorder="1" applyAlignment="1">
      <alignment vertical="top"/>
    </xf>
    <xf numFmtId="0" fontId="1" fillId="0" borderId="11" xfId="0" applyFont="1" applyFill="1" applyBorder="1" applyAlignment="1">
      <alignment vertical="top"/>
    </xf>
    <xf numFmtId="0" fontId="1" fillId="0" borderId="7" xfId="0" applyFont="1" applyFill="1" applyBorder="1" applyAlignment="1">
      <alignment vertical="top"/>
    </xf>
    <xf numFmtId="0" fontId="5" fillId="0" borderId="14" xfId="2" applyFont="1" applyFill="1" applyBorder="1" applyAlignment="1">
      <alignment horizontal="center" vertical="top" wrapText="1"/>
    </xf>
    <xf numFmtId="0" fontId="5" fillId="0" borderId="0" xfId="2" applyFont="1" applyFill="1" applyBorder="1" applyAlignment="1">
      <alignment horizontal="left" vertical="top" shrinkToFit="1"/>
    </xf>
    <xf numFmtId="3" fontId="5" fillId="0" borderId="0" xfId="2" applyNumberFormat="1" applyFont="1" applyFill="1" applyBorder="1" applyAlignment="1">
      <alignment horizontal="left" vertical="top" shrinkToFit="1"/>
    </xf>
    <xf numFmtId="0" fontId="5" fillId="0" borderId="12" xfId="2" applyFont="1" applyFill="1" applyBorder="1" applyAlignment="1">
      <alignment horizontal="center" vertical="top" wrapText="1"/>
    </xf>
    <xf numFmtId="0" fontId="5" fillId="0" borderId="13" xfId="2" applyFont="1" applyFill="1" applyBorder="1" applyAlignment="1">
      <alignment horizontal="center" vertical="top" wrapText="1"/>
    </xf>
    <xf numFmtId="0" fontId="8" fillId="0" borderId="0" xfId="2" applyFont="1" applyBorder="1" applyAlignment="1">
      <alignment horizontal="left"/>
    </xf>
    <xf numFmtId="0" fontId="9" fillId="0" borderId="2" xfId="2" applyFont="1" applyBorder="1" applyAlignment="1">
      <alignment horizontal="left" wrapText="1"/>
    </xf>
    <xf numFmtId="0" fontId="9" fillId="0" borderId="11" xfId="2" applyFont="1" applyBorder="1" applyAlignment="1">
      <alignment horizontal="left" wrapText="1"/>
    </xf>
    <xf numFmtId="0" fontId="9" fillId="0" borderId="7" xfId="2" applyFont="1" applyBorder="1" applyAlignment="1">
      <alignment horizontal="lef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0" xfId="2" applyFont="1" applyBorder="1" applyAlignment="1">
      <alignment horizontal="left" wrapText="1"/>
    </xf>
    <xf numFmtId="0" fontId="8" fillId="0" borderId="0" xfId="2" applyFont="1" applyBorder="1" applyAlignment="1">
      <alignment horizontal="center" vertical="top"/>
    </xf>
    <xf numFmtId="0" fontId="8" fillId="0" borderId="1" xfId="2" applyFont="1" applyBorder="1" applyAlignment="1">
      <alignment horizontal="left"/>
    </xf>
    <xf numFmtId="0" fontId="8" fillId="0" borderId="2" xfId="2" applyFont="1" applyBorder="1" applyAlignment="1">
      <alignment horizontal="left"/>
    </xf>
    <xf numFmtId="0" fontId="12" fillId="0" borderId="9" xfId="2" applyFont="1" applyBorder="1" applyAlignment="1">
      <alignment horizontal="center" vertical="top" wrapText="1"/>
    </xf>
    <xf numFmtId="0" fontId="12" fillId="0" borderId="10" xfId="2" applyFont="1" applyBorder="1" applyAlignment="1">
      <alignment horizontal="center" vertical="top" wrapText="1"/>
    </xf>
    <xf numFmtId="0" fontId="12" fillId="0" borderId="12" xfId="2" applyFont="1" applyBorder="1" applyAlignment="1">
      <alignment horizontal="center" vertical="top" wrapText="1"/>
    </xf>
    <xf numFmtId="0" fontId="12" fillId="0" borderId="13" xfId="2" applyFont="1" applyBorder="1" applyAlignment="1">
      <alignment horizontal="center" vertical="top" wrapText="1"/>
    </xf>
    <xf numFmtId="0" fontId="9" fillId="0" borderId="0" xfId="2" applyFont="1" applyAlignment="1">
      <alignment horizontal="left"/>
    </xf>
    <xf numFmtId="0" fontId="9" fillId="0" borderId="0" xfId="2" applyFont="1" applyBorder="1" applyAlignment="1">
      <alignment horizontal="right"/>
    </xf>
    <xf numFmtId="0" fontId="8" fillId="0" borderId="0" xfId="2" applyFont="1" applyBorder="1" applyAlignment="1">
      <alignment horizontal="left" shrinkToFit="1"/>
    </xf>
    <xf numFmtId="0" fontId="8" fillId="0" borderId="0" xfId="2" applyFont="1" applyBorder="1" applyAlignment="1">
      <alignment horizontal="right"/>
    </xf>
    <xf numFmtId="0" fontId="8" fillId="0" borderId="0" xfId="2" applyFont="1" applyBorder="1"/>
    <xf numFmtId="0" fontId="8" fillId="0" borderId="0" xfId="2" applyFont="1" applyBorder="1" applyAlignment="1">
      <alignment horizontal="center"/>
    </xf>
    <xf numFmtId="0" fontId="12" fillId="0" borderId="16" xfId="2" applyFont="1" applyBorder="1" applyAlignment="1">
      <alignment horizontal="center" vertical="top" wrapText="1"/>
    </xf>
    <xf numFmtId="0" fontId="9" fillId="0" borderId="0" xfId="2" applyFont="1" applyFill="1" applyAlignment="1">
      <alignment horizontal="left" wrapText="1"/>
    </xf>
    <xf numFmtId="0" fontId="8" fillId="0" borderId="0" xfId="2" applyFont="1" applyAlignment="1">
      <alignment horizontal="center"/>
    </xf>
    <xf numFmtId="0" fontId="8" fillId="0" borderId="7" xfId="2" applyFont="1" applyBorder="1" applyAlignment="1">
      <alignment horizontal="left"/>
    </xf>
    <xf numFmtId="0" fontId="8" fillId="0" borderId="15" xfId="2" applyFont="1" applyBorder="1" applyAlignment="1">
      <alignment horizontal="left"/>
    </xf>
    <xf numFmtId="0" fontId="11" fillId="2" borderId="16" xfId="2" applyFont="1" applyFill="1" applyBorder="1" applyAlignment="1">
      <alignment horizontal="center"/>
    </xf>
    <xf numFmtId="0" fontId="11" fillId="2" borderId="17" xfId="2" applyFont="1" applyFill="1" applyBorder="1" applyAlignment="1">
      <alignment horizontal="center"/>
    </xf>
    <xf numFmtId="0" fontId="11" fillId="2" borderId="18" xfId="2" applyFont="1" applyFill="1" applyBorder="1" applyAlignment="1">
      <alignment horizontal="center"/>
    </xf>
    <xf numFmtId="0" fontId="11" fillId="2" borderId="19" xfId="2" applyFont="1" applyFill="1" applyBorder="1" applyAlignment="1">
      <alignment horizontal="center"/>
    </xf>
    <xf numFmtId="0" fontId="2" fillId="0" borderId="11" xfId="0" applyFont="1" applyFill="1" applyBorder="1" applyAlignment="1">
      <alignment vertical="top"/>
    </xf>
    <xf numFmtId="0" fontId="2" fillId="0" borderId="7" xfId="0" applyFont="1" applyFill="1" applyBorder="1" applyAlignment="1">
      <alignment vertical="top"/>
    </xf>
  </cellXfs>
  <cellStyles count="10">
    <cellStyle name="Обычный" xfId="0" builtinId="0"/>
    <cellStyle name="Обычный 10" xfId="1"/>
    <cellStyle name="Обычный 2" xfId="2"/>
    <cellStyle name="Обычный 2 2" xfId="3"/>
    <cellStyle name="Обычный 2 3" xfId="4"/>
    <cellStyle name="Обычный 3" xfId="5"/>
    <cellStyle name="Обычный 4" xfId="6"/>
    <cellStyle name="Обычный 5" xfId="7"/>
    <cellStyle name="Обычный 6" xfId="9"/>
    <cellStyle name="Финансовый" xfId="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DamuGpz201227_pOt24022012g_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content/files/DamuGpz201246_pOt05042012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0;&#1086;&#1087;&#1080;&#1103;%20&#1055;&#1051;&#1040;&#1053;%20&#1047;&#1040;&#1050;&#1059;&#1055;&#1054;&#1050;%202012%20&#1087;&#1088;&#1086;&#1077;&#1082;&#1090;%20&#1076;&#1083;&#1103;%20&#1086;&#1090;&#1087;&#1088;&#1072;&#1074;&#1082;&#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73;&#1102;&#1076;&#1078;&#1077;&#1090;%202012&#10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50;&#1072;&#1087;&#1079;&#1072;&#1090;&#1088;&#1072;&#1090;&#1099;%202012&#107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55;&#1083;&#1072;&#1085;%20&#1079;&#1072;&#1082;&#1091;&#1087;&#1086;&#1082;%2020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prilojenie%2015%20&#1072;&#1076;&#1084;&#1080;&#1085;-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88;&#1072;&#1089;&#1093;&#1086;&#1076;&#1099;%20&#1087;&#1086;%20&#1092;&#1080;&#1083;%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5">
          <cell r="E5">
            <v>2500000</v>
          </cell>
        </row>
        <row r="6">
          <cell r="E6">
            <v>1400000</v>
          </cell>
        </row>
        <row r="7">
          <cell r="E7">
            <v>700000</v>
          </cell>
        </row>
        <row r="8">
          <cell r="E8">
            <v>2500000</v>
          </cell>
        </row>
        <row r="9">
          <cell r="E9">
            <v>600000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1">
          <cell r="E21">
            <v>11642803.199999999</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row r="7">
          <cell r="C7">
            <v>5868000</v>
          </cell>
        </row>
        <row r="8">
          <cell r="C8">
            <v>20121380</v>
          </cell>
        </row>
      </sheetData>
      <sheetData sheetId="19" refreshError="1"/>
      <sheetData sheetId="20" refreshError="1"/>
      <sheetData sheetId="21" refreshError="1">
        <row r="28">
          <cell r="B28">
            <v>4280000</v>
          </cell>
        </row>
        <row r="33">
          <cell r="B33">
            <v>666398.14</v>
          </cell>
        </row>
        <row r="35">
          <cell r="B35">
            <v>267500</v>
          </cell>
        </row>
        <row r="40">
          <cell r="B40">
            <v>3000000</v>
          </cell>
        </row>
        <row r="42">
          <cell r="B42">
            <v>9760000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row r="271">
          <cell r="N271">
            <v>350966.18754288001</v>
          </cell>
        </row>
      </sheetData>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8">
          <cell r="T18">
            <v>794843.28000000014</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G9">
            <v>242200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2">
          <cell r="E12">
            <v>18900</v>
          </cell>
          <cell r="F12">
            <v>18900</v>
          </cell>
          <cell r="G12">
            <v>2140</v>
          </cell>
          <cell r="H12">
            <v>17280</v>
          </cell>
          <cell r="I12">
            <v>7300</v>
          </cell>
          <cell r="J12">
            <v>3360</v>
          </cell>
          <cell r="K12">
            <v>5400</v>
          </cell>
          <cell r="M12">
            <v>4087.4</v>
          </cell>
          <cell r="N12">
            <v>1695</v>
          </cell>
          <cell r="O12">
            <v>18928</v>
          </cell>
          <cell r="P12">
            <v>69344</v>
          </cell>
          <cell r="Q12">
            <v>10200</v>
          </cell>
          <cell r="R12">
            <v>6150</v>
          </cell>
          <cell r="S12">
            <v>12133.800000000001</v>
          </cell>
        </row>
        <row r="13">
          <cell r="E13">
            <v>22620</v>
          </cell>
          <cell r="F13">
            <v>30790</v>
          </cell>
          <cell r="G13">
            <v>26864.49</v>
          </cell>
          <cell r="J13">
            <v>56000</v>
          </cell>
          <cell r="K13">
            <v>57000</v>
          </cell>
          <cell r="M13">
            <v>65890.600000000006</v>
          </cell>
          <cell r="N13">
            <v>24738</v>
          </cell>
          <cell r="O13">
            <v>78400</v>
          </cell>
          <cell r="Q13">
            <v>42975</v>
          </cell>
          <cell r="S13">
            <v>38619.51</v>
          </cell>
        </row>
        <row r="14">
          <cell r="I14">
            <v>17100</v>
          </cell>
          <cell r="J14">
            <v>40320</v>
          </cell>
          <cell r="M14">
            <v>25359</v>
          </cell>
          <cell r="S14">
            <v>19238.600000000002</v>
          </cell>
        </row>
        <row r="15">
          <cell r="E15">
            <v>1240</v>
          </cell>
          <cell r="G15">
            <v>2054.3999999999996</v>
          </cell>
          <cell r="H15">
            <v>560</v>
          </cell>
          <cell r="I15">
            <v>3560</v>
          </cell>
          <cell r="J15">
            <v>2688</v>
          </cell>
          <cell r="K15">
            <v>3900</v>
          </cell>
          <cell r="M15">
            <v>774.68000000000006</v>
          </cell>
          <cell r="N15">
            <v>2324</v>
          </cell>
          <cell r="O15">
            <v>1792</v>
          </cell>
          <cell r="Q15">
            <v>400</v>
          </cell>
          <cell r="R15">
            <v>1120</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748">
          <cell r="V748">
            <v>377881610.62</v>
          </cell>
        </row>
        <row r="1382">
          <cell r="V1382">
            <v>1450495351.7837708</v>
          </cell>
        </row>
      </sheetData>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781">
          <cell r="V781">
            <v>377843610.62</v>
          </cell>
        </row>
        <row r="1466">
          <cell r="V1466">
            <v>1828338962.4037709</v>
          </cell>
        </row>
      </sheetData>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747">
          <cell r="V747">
            <v>800000</v>
          </cell>
        </row>
        <row r="748">
          <cell r="V748">
            <v>900000</v>
          </cell>
        </row>
        <row r="766">
          <cell r="V766">
            <v>710000</v>
          </cell>
        </row>
        <row r="767">
          <cell r="V767">
            <v>303200</v>
          </cell>
        </row>
        <row r="1155">
          <cell r="V1155">
            <v>344000</v>
          </cell>
        </row>
      </sheetData>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row r="7">
          <cell r="D7">
            <v>1214.46912</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тит.лист"/>
      <sheetName val="форма 1"/>
      <sheetName val="форма 2"/>
      <sheetName val="форма 3"/>
      <sheetName val="форма 4"/>
      <sheetName val="форма 5"/>
    </sheetNames>
    <sheetDataSet>
      <sheetData sheetId="0" refreshError="1"/>
      <sheetData sheetId="1" refreshError="1">
        <row r="58">
          <cell r="H58">
            <v>1106724.0575999999</v>
          </cell>
        </row>
        <row r="80">
          <cell r="H80">
            <v>2827.0439999999999</v>
          </cell>
        </row>
        <row r="81">
          <cell r="H81">
            <v>397578.38</v>
          </cell>
        </row>
        <row r="82">
          <cell r="H82">
            <v>149205.81867840001</v>
          </cell>
        </row>
        <row r="99">
          <cell r="H99">
            <v>6570321.9524057871</v>
          </cell>
        </row>
        <row r="100">
          <cell r="H100">
            <v>209134.99966666667</v>
          </cell>
        </row>
        <row r="110">
          <cell r="H110">
            <v>554625</v>
          </cell>
        </row>
        <row r="118">
          <cell r="H118">
            <v>115707.97840000001</v>
          </cell>
        </row>
        <row r="119">
          <cell r="H119">
            <v>29512.559354999998</v>
          </cell>
        </row>
        <row r="130">
          <cell r="H130">
            <v>1000000</v>
          </cell>
        </row>
        <row r="132">
          <cell r="H132">
            <v>89274.130400000009</v>
          </cell>
        </row>
        <row r="135">
          <cell r="H135">
            <v>12276.878000000001</v>
          </cell>
        </row>
        <row r="140">
          <cell r="H140">
            <v>3322</v>
          </cell>
        </row>
        <row r="142">
          <cell r="H142">
            <v>16000</v>
          </cell>
        </row>
        <row r="152">
          <cell r="H152">
            <v>11804824.137616301</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раб."/>
      <sheetName val="свод"/>
      <sheetName val="филиалы"/>
      <sheetName val="невнесенные"/>
      <sheetName val="техника"/>
      <sheetName val="фил-материалы"/>
      <sheetName val="2013-2015"/>
      <sheetName val="Лист4"/>
      <sheetName val="Лист1"/>
    </sheetNames>
    <sheetDataSet>
      <sheetData sheetId="0" refreshError="1"/>
      <sheetData sheetId="1" refreshError="1">
        <row r="5">
          <cell r="D5">
            <v>1702796657</v>
          </cell>
        </row>
        <row r="142">
          <cell r="D142">
            <v>1776399469.7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10">
          <cell r="U10">
            <v>7200000</v>
          </cell>
          <cell r="X10">
            <v>73602812.699999988</v>
          </cell>
        </row>
        <row r="698">
          <cell r="U698">
            <v>118002680.035</v>
          </cell>
        </row>
      </sheetData>
      <sheetData sheetId="1"/>
      <sheetData sheetId="2"/>
      <sheetData sheetId="3"/>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B16">
            <v>2580000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2">
          <cell r="G12">
            <v>5600000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8">
          <cell r="B38">
            <v>3000000</v>
          </cell>
        </row>
      </sheetData>
      <sheetData sheetId="49" refreshError="1">
        <row r="5">
          <cell r="B5">
            <v>3776540.9849999999</v>
          </cell>
        </row>
        <row r="11">
          <cell r="B11">
            <v>120000</v>
          </cell>
        </row>
        <row r="12">
          <cell r="B12">
            <v>2880000</v>
          </cell>
        </row>
        <row r="13">
          <cell r="B13">
            <v>26174290</v>
          </cell>
        </row>
        <row r="52">
          <cell r="B52">
            <v>3000000</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row r="5">
          <cell r="E5">
            <v>652080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4">
          <cell r="M24">
            <v>8907.0640000000003</v>
          </cell>
        </row>
        <row r="54">
          <cell r="E54">
            <v>6120000</v>
          </cell>
          <cell r="F54">
            <v>2787064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U1598"/>
  <sheetViews>
    <sheetView tabSelected="1" topLeftCell="A1574" zoomScaleNormal="100" zoomScaleSheetLayoutView="40" workbookViewId="0">
      <pane xSplit="5" topLeftCell="R1" activePane="topRight" state="frozen"/>
      <selection activeCell="A4" sqref="A4"/>
      <selection pane="topRight" activeCell="W1581" sqref="W1581:X1585"/>
    </sheetView>
  </sheetViews>
  <sheetFormatPr defaultRowHeight="12.75" outlineLevelRow="1" outlineLevelCol="1"/>
  <cols>
    <col min="1" max="1" width="2" style="98" customWidth="1"/>
    <col min="2" max="2" width="6.7109375" style="98" customWidth="1"/>
    <col min="3" max="3" width="14" style="98" customWidth="1" outlineLevel="1"/>
    <col min="4" max="4" width="9.42578125" style="98" customWidth="1" outlineLevel="1"/>
    <col min="5" max="5" width="30" style="123" customWidth="1"/>
    <col min="6" max="6" width="19.5703125" style="124" customWidth="1" outlineLevel="1"/>
    <col min="7" max="7" width="18.28515625" style="124" customWidth="1" outlineLevel="1"/>
    <col min="8" max="8" width="9.5703125" style="98" customWidth="1" outlineLevel="1"/>
    <col min="9" max="9" width="11.140625" style="98" customWidth="1" outlineLevel="1"/>
    <col min="10" max="10" width="11.7109375" style="98" customWidth="1" outlineLevel="1"/>
    <col min="11" max="11" width="11.42578125" style="98" customWidth="1"/>
    <col min="12" max="12" width="16.85546875" style="98" customWidth="1" outlineLevel="1"/>
    <col min="13" max="13" width="20.85546875" style="98" customWidth="1"/>
    <col min="14" max="14" width="15.7109375" style="98" customWidth="1" outlineLevel="1"/>
    <col min="15" max="15" width="15.85546875" style="98" customWidth="1" outlineLevel="1"/>
    <col min="16" max="16" width="15" style="98" customWidth="1" outlineLevel="1"/>
    <col min="17" max="17" width="14.42578125" style="98" customWidth="1" outlineLevel="1"/>
    <col min="18" max="18" width="9.7109375" style="98" customWidth="1"/>
    <col min="19" max="19" width="11.140625" style="107" customWidth="1"/>
    <col min="20" max="20" width="14.7109375" style="98" customWidth="1" outlineLevel="1"/>
    <col min="21" max="21" width="15.28515625" style="98" customWidth="1" outlineLevel="1" collapsed="1"/>
    <col min="22" max="22" width="13.85546875" style="107" customWidth="1"/>
    <col min="23" max="24" width="13.28515625" style="98" customWidth="1" outlineLevel="1"/>
    <col min="25" max="25" width="12.5703125" style="98" customWidth="1" outlineLevel="1"/>
    <col min="26" max="26" width="12.5703125" style="98" bestFit="1" customWidth="1"/>
    <col min="27" max="16384" width="9.140625" style="98"/>
  </cols>
  <sheetData>
    <row r="1" spans="1:27">
      <c r="E1" s="99"/>
      <c r="F1" s="100"/>
      <c r="G1" s="100"/>
      <c r="H1" s="101"/>
      <c r="I1" s="101"/>
      <c r="J1" s="101"/>
      <c r="K1" s="101"/>
      <c r="L1" s="101"/>
      <c r="M1" s="101"/>
      <c r="N1" s="101"/>
      <c r="O1" s="101"/>
      <c r="P1" s="102"/>
      <c r="R1" s="101"/>
      <c r="T1" s="101"/>
      <c r="V1" s="103"/>
      <c r="W1" s="104"/>
      <c r="X1" s="104"/>
    </row>
    <row r="2" spans="1:27">
      <c r="D2" s="102"/>
      <c r="E2" s="105"/>
      <c r="F2" s="106"/>
      <c r="G2" s="106"/>
      <c r="H2" s="102"/>
      <c r="I2" s="102"/>
      <c r="J2" s="102"/>
      <c r="K2" s="102"/>
      <c r="L2" s="102"/>
      <c r="M2" s="102"/>
      <c r="N2" s="102"/>
      <c r="O2" s="102"/>
      <c r="P2" s="200"/>
      <c r="Q2" s="200"/>
      <c r="R2" s="200"/>
      <c r="S2" s="201"/>
      <c r="T2" s="200"/>
      <c r="U2" s="200"/>
      <c r="V2" s="201"/>
      <c r="W2" s="200"/>
      <c r="X2" s="176"/>
    </row>
    <row r="3" spans="1:27">
      <c r="D3" s="102"/>
      <c r="E3" s="105"/>
      <c r="F3" s="106"/>
      <c r="G3" s="106"/>
      <c r="H3" s="102"/>
      <c r="I3" s="102"/>
      <c r="J3" s="102"/>
      <c r="K3" s="102"/>
      <c r="L3" s="102"/>
      <c r="M3" s="102"/>
      <c r="N3" s="102"/>
      <c r="O3" s="102"/>
      <c r="P3" s="102"/>
      <c r="R3" s="106"/>
      <c r="S3" s="127"/>
      <c r="T3" s="106"/>
    </row>
    <row r="4" spans="1:27">
      <c r="B4" s="108" t="s">
        <v>2485</v>
      </c>
      <c r="C4" s="108"/>
      <c r="D4" s="108"/>
      <c r="E4" s="105"/>
      <c r="F4" s="105"/>
      <c r="G4" s="105"/>
      <c r="H4" s="108"/>
      <c r="I4" s="108"/>
      <c r="J4" s="108"/>
      <c r="K4" s="108"/>
      <c r="L4" s="108"/>
      <c r="M4" s="108"/>
      <c r="N4" s="108"/>
      <c r="O4" s="108"/>
      <c r="P4" s="102"/>
      <c r="Q4" s="108"/>
      <c r="R4" s="109"/>
      <c r="S4" s="110" t="s">
        <v>2929</v>
      </c>
      <c r="T4" s="108"/>
      <c r="U4" s="108"/>
      <c r="V4" s="110"/>
      <c r="W4" s="108"/>
      <c r="X4" s="108"/>
    </row>
    <row r="5" spans="1:27" ht="13.5" thickBot="1">
      <c r="D5" s="101"/>
      <c r="E5" s="99"/>
      <c r="F5" s="100"/>
      <c r="G5" s="100"/>
      <c r="H5" s="101"/>
      <c r="I5" s="101"/>
      <c r="J5" s="101"/>
      <c r="K5" s="101"/>
      <c r="L5" s="101"/>
      <c r="M5" s="101"/>
      <c r="N5" s="101"/>
      <c r="O5" s="101"/>
      <c r="P5" s="101"/>
      <c r="Q5" s="101"/>
      <c r="R5" s="101"/>
      <c r="S5" s="111"/>
      <c r="T5" s="101"/>
      <c r="U5" s="101"/>
      <c r="V5" s="111"/>
      <c r="W5" s="101"/>
      <c r="X5" s="101"/>
    </row>
    <row r="6" spans="1:27" ht="28.5" customHeight="1">
      <c r="B6" s="190" t="s">
        <v>3</v>
      </c>
      <c r="C6" s="190" t="s">
        <v>36</v>
      </c>
      <c r="D6" s="190" t="s">
        <v>2320</v>
      </c>
      <c r="E6" s="190" t="s">
        <v>45</v>
      </c>
      <c r="F6" s="190" t="s">
        <v>61</v>
      </c>
      <c r="G6" s="177" t="s">
        <v>2336</v>
      </c>
      <c r="H6" s="190" t="s">
        <v>5</v>
      </c>
      <c r="I6" s="190" t="s">
        <v>6</v>
      </c>
      <c r="J6" s="190" t="s">
        <v>7</v>
      </c>
      <c r="K6" s="190" t="s">
        <v>59</v>
      </c>
      <c r="L6" s="190" t="s">
        <v>8</v>
      </c>
      <c r="M6" s="190" t="s">
        <v>9</v>
      </c>
      <c r="N6" s="190" t="s">
        <v>10</v>
      </c>
      <c r="O6" s="190" t="s">
        <v>11</v>
      </c>
      <c r="P6" s="190" t="s">
        <v>62</v>
      </c>
      <c r="Q6" s="190" t="s">
        <v>12</v>
      </c>
      <c r="R6" s="190" t="s">
        <v>13</v>
      </c>
      <c r="S6" s="192" t="s">
        <v>14</v>
      </c>
      <c r="T6" s="190" t="s">
        <v>15</v>
      </c>
      <c r="U6" s="190" t="s">
        <v>60</v>
      </c>
      <c r="V6" s="192" t="s">
        <v>17</v>
      </c>
      <c r="W6" s="202" t="s">
        <v>2337</v>
      </c>
      <c r="X6" s="179" t="s">
        <v>18</v>
      </c>
      <c r="Y6" s="190" t="s">
        <v>19</v>
      </c>
    </row>
    <row r="7" spans="1:27" ht="78" customHeight="1" thickBot="1">
      <c r="B7" s="191"/>
      <c r="C7" s="191"/>
      <c r="D7" s="191"/>
      <c r="E7" s="191"/>
      <c r="F7" s="191"/>
      <c r="G7" s="178"/>
      <c r="H7" s="191"/>
      <c r="I7" s="191"/>
      <c r="J7" s="191"/>
      <c r="K7" s="191"/>
      <c r="L7" s="191"/>
      <c r="M7" s="191"/>
      <c r="N7" s="191"/>
      <c r="O7" s="191"/>
      <c r="P7" s="191"/>
      <c r="Q7" s="191"/>
      <c r="R7" s="191"/>
      <c r="S7" s="193"/>
      <c r="T7" s="191"/>
      <c r="U7" s="191"/>
      <c r="V7" s="193"/>
      <c r="W7" s="203"/>
      <c r="X7" s="90"/>
      <c r="Y7" s="199"/>
    </row>
    <row r="8" spans="1:27" s="112" customFormat="1" ht="13.5">
      <c r="B8" s="75">
        <v>1</v>
      </c>
      <c r="C8" s="75">
        <v>2</v>
      </c>
      <c r="D8" s="75">
        <v>3</v>
      </c>
      <c r="E8" s="75">
        <v>4</v>
      </c>
      <c r="F8" s="75">
        <v>5</v>
      </c>
      <c r="G8" s="75">
        <v>6</v>
      </c>
      <c r="H8" s="75">
        <v>7</v>
      </c>
      <c r="I8" s="75">
        <v>8</v>
      </c>
      <c r="J8" s="75">
        <v>9</v>
      </c>
      <c r="K8" s="75">
        <v>10</v>
      </c>
      <c r="L8" s="75">
        <v>11</v>
      </c>
      <c r="M8" s="75">
        <v>12</v>
      </c>
      <c r="N8" s="75">
        <v>13</v>
      </c>
      <c r="O8" s="75">
        <v>14</v>
      </c>
      <c r="P8" s="75">
        <v>15</v>
      </c>
      <c r="Q8" s="75">
        <v>16</v>
      </c>
      <c r="R8" s="75">
        <v>17</v>
      </c>
      <c r="S8" s="76">
        <v>18</v>
      </c>
      <c r="T8" s="75">
        <v>19</v>
      </c>
      <c r="U8" s="75">
        <v>20</v>
      </c>
      <c r="V8" s="76">
        <v>21</v>
      </c>
      <c r="W8" s="75">
        <v>22</v>
      </c>
      <c r="X8" s="75">
        <v>23</v>
      </c>
      <c r="Y8" s="75">
        <v>24</v>
      </c>
    </row>
    <row r="9" spans="1:27">
      <c r="B9" s="196" t="s">
        <v>20</v>
      </c>
      <c r="C9" s="197"/>
      <c r="D9" s="197"/>
      <c r="E9" s="197"/>
      <c r="F9" s="197"/>
      <c r="G9" s="197"/>
      <c r="H9" s="197"/>
      <c r="I9" s="197"/>
      <c r="J9" s="197"/>
      <c r="K9" s="197"/>
      <c r="L9" s="197"/>
      <c r="M9" s="197"/>
      <c r="N9" s="197"/>
      <c r="O9" s="197"/>
      <c r="P9" s="197"/>
      <c r="Q9" s="197"/>
      <c r="R9" s="197"/>
      <c r="S9" s="197"/>
      <c r="T9" s="197"/>
      <c r="U9" s="197"/>
      <c r="V9" s="197"/>
      <c r="W9" s="197"/>
      <c r="X9" s="197"/>
      <c r="Y9" s="198"/>
      <c r="Z9" s="107"/>
      <c r="AA9" s="107"/>
    </row>
    <row r="10" spans="1:27" s="55" customFormat="1" ht="114.75">
      <c r="A10" s="65"/>
      <c r="B10" s="52" t="s">
        <v>835</v>
      </c>
      <c r="C10" s="78" t="s">
        <v>246</v>
      </c>
      <c r="D10" s="52" t="s">
        <v>1962</v>
      </c>
      <c r="E10" s="56" t="s">
        <v>2330</v>
      </c>
      <c r="F10" s="53" t="s">
        <v>1981</v>
      </c>
      <c r="G10" s="53"/>
      <c r="H10" s="52" t="s">
        <v>242</v>
      </c>
      <c r="I10" s="52">
        <v>0</v>
      </c>
      <c r="J10" s="52">
        <v>751000000</v>
      </c>
      <c r="K10" s="53" t="s">
        <v>2290</v>
      </c>
      <c r="L10" s="52" t="s">
        <v>1548</v>
      </c>
      <c r="M10" s="53" t="s">
        <v>2290</v>
      </c>
      <c r="N10" s="52" t="s">
        <v>241</v>
      </c>
      <c r="O10" s="52" t="s">
        <v>1501</v>
      </c>
      <c r="P10" s="53" t="s">
        <v>1538</v>
      </c>
      <c r="Q10" s="52">
        <v>839</v>
      </c>
      <c r="R10" s="52" t="s">
        <v>348</v>
      </c>
      <c r="S10" s="54">
        <v>45</v>
      </c>
      <c r="T10" s="54">
        <f t="shared" ref="T10:T23" si="0">V10/114*100/S10</f>
        <v>0</v>
      </c>
      <c r="U10" s="54">
        <f t="shared" ref="U10:U23" si="1">V10/112*100</f>
        <v>0</v>
      </c>
      <c r="V10" s="54">
        <v>0</v>
      </c>
      <c r="W10" s="52"/>
      <c r="X10" s="52">
        <v>2012</v>
      </c>
      <c r="Y10" s="52">
        <v>11.14</v>
      </c>
      <c r="Z10" s="171"/>
    </row>
    <row r="11" spans="1:27" s="55" customFormat="1" ht="114.75">
      <c r="A11" s="65"/>
      <c r="B11" s="52" t="s">
        <v>2788</v>
      </c>
      <c r="C11" s="78" t="s">
        <v>246</v>
      </c>
      <c r="D11" s="52" t="s">
        <v>1962</v>
      </c>
      <c r="E11" s="56" t="s">
        <v>2330</v>
      </c>
      <c r="F11" s="53" t="s">
        <v>1981</v>
      </c>
      <c r="G11" s="53"/>
      <c r="H11" s="52" t="s">
        <v>242</v>
      </c>
      <c r="I11" s="52">
        <v>0</v>
      </c>
      <c r="J11" s="52">
        <v>751000000</v>
      </c>
      <c r="K11" s="53" t="s">
        <v>2290</v>
      </c>
      <c r="L11" s="52" t="s">
        <v>2789</v>
      </c>
      <c r="M11" s="53" t="s">
        <v>2290</v>
      </c>
      <c r="N11" s="52" t="s">
        <v>241</v>
      </c>
      <c r="O11" s="52" t="s">
        <v>1557</v>
      </c>
      <c r="P11" s="53" t="s">
        <v>1538</v>
      </c>
      <c r="Q11" s="52">
        <v>839</v>
      </c>
      <c r="R11" s="52" t="s">
        <v>348</v>
      </c>
      <c r="S11" s="54">
        <v>45</v>
      </c>
      <c r="T11" s="54">
        <f t="shared" si="0"/>
        <v>140350.87719298244</v>
      </c>
      <c r="U11" s="54">
        <f t="shared" si="1"/>
        <v>6428571.4285714282</v>
      </c>
      <c r="V11" s="54">
        <v>7200000</v>
      </c>
      <c r="W11" s="52"/>
      <c r="X11" s="52">
        <v>2012</v>
      </c>
      <c r="Y11" s="52"/>
      <c r="Z11" s="171"/>
    </row>
    <row r="12" spans="1:27" s="55" customFormat="1" ht="114.75">
      <c r="A12" s="65"/>
      <c r="B12" s="52" t="s">
        <v>1956</v>
      </c>
      <c r="C12" s="78" t="s">
        <v>246</v>
      </c>
      <c r="D12" s="52" t="s">
        <v>248</v>
      </c>
      <c r="E12" s="56" t="s">
        <v>1868</v>
      </c>
      <c r="F12" s="53" t="s">
        <v>1982</v>
      </c>
      <c r="G12" s="53"/>
      <c r="H12" s="52" t="s">
        <v>243</v>
      </c>
      <c r="I12" s="52">
        <v>0</v>
      </c>
      <c r="J12" s="52">
        <v>751000000</v>
      </c>
      <c r="K12" s="53" t="s">
        <v>2290</v>
      </c>
      <c r="L12" s="52" t="s">
        <v>1548</v>
      </c>
      <c r="M12" s="53" t="s">
        <v>2290</v>
      </c>
      <c r="N12" s="52" t="s">
        <v>241</v>
      </c>
      <c r="O12" s="52" t="s">
        <v>1501</v>
      </c>
      <c r="P12" s="53" t="s">
        <v>1538</v>
      </c>
      <c r="Q12" s="52">
        <v>839</v>
      </c>
      <c r="R12" s="52" t="s">
        <v>348</v>
      </c>
      <c r="S12" s="54">
        <v>1</v>
      </c>
      <c r="T12" s="54">
        <f t="shared" si="0"/>
        <v>0</v>
      </c>
      <c r="U12" s="54">
        <f t="shared" si="1"/>
        <v>0</v>
      </c>
      <c r="V12" s="54">
        <v>0</v>
      </c>
      <c r="W12" s="52"/>
      <c r="X12" s="52">
        <v>2012</v>
      </c>
      <c r="Y12" s="52">
        <v>11.14</v>
      </c>
      <c r="Z12" s="171"/>
    </row>
    <row r="13" spans="1:27" s="55" customFormat="1" ht="114.75">
      <c r="A13" s="65"/>
      <c r="B13" s="52" t="s">
        <v>2790</v>
      </c>
      <c r="C13" s="78" t="s">
        <v>246</v>
      </c>
      <c r="D13" s="52" t="s">
        <v>248</v>
      </c>
      <c r="E13" s="56" t="s">
        <v>1868</v>
      </c>
      <c r="F13" s="53" t="s">
        <v>1982</v>
      </c>
      <c r="G13" s="53"/>
      <c r="H13" s="52" t="s">
        <v>243</v>
      </c>
      <c r="I13" s="52">
        <v>0</v>
      </c>
      <c r="J13" s="52">
        <v>751000000</v>
      </c>
      <c r="K13" s="53" t="s">
        <v>2290</v>
      </c>
      <c r="L13" s="52" t="s">
        <v>1755</v>
      </c>
      <c r="M13" s="53" t="s">
        <v>2290</v>
      </c>
      <c r="N13" s="52" t="s">
        <v>241</v>
      </c>
      <c r="O13" s="52" t="s">
        <v>1557</v>
      </c>
      <c r="P13" s="53" t="s">
        <v>1538</v>
      </c>
      <c r="Q13" s="52">
        <v>839</v>
      </c>
      <c r="R13" s="52" t="s">
        <v>348</v>
      </c>
      <c r="S13" s="54">
        <v>1</v>
      </c>
      <c r="T13" s="54">
        <f t="shared" si="0"/>
        <v>1929824.5614035088</v>
      </c>
      <c r="U13" s="54">
        <f t="shared" si="1"/>
        <v>1964285.7142857141</v>
      </c>
      <c r="V13" s="54">
        <v>2200000</v>
      </c>
      <c r="W13" s="52"/>
      <c r="X13" s="52">
        <v>2012</v>
      </c>
      <c r="Y13" s="52"/>
      <c r="Z13" s="171"/>
    </row>
    <row r="14" spans="1:27" s="55" customFormat="1" ht="114.75">
      <c r="A14" s="65"/>
      <c r="B14" s="52" t="s">
        <v>836</v>
      </c>
      <c r="C14" s="78" t="s">
        <v>246</v>
      </c>
      <c r="D14" s="58" t="s">
        <v>1963</v>
      </c>
      <c r="E14" s="56" t="s">
        <v>1851</v>
      </c>
      <c r="F14" s="53" t="s">
        <v>2196</v>
      </c>
      <c r="G14" s="53"/>
      <c r="H14" s="52" t="s">
        <v>245</v>
      </c>
      <c r="I14" s="52">
        <v>50</v>
      </c>
      <c r="J14" s="52">
        <v>751000000</v>
      </c>
      <c r="K14" s="53" t="s">
        <v>2290</v>
      </c>
      <c r="L14" s="52" t="s">
        <v>1471</v>
      </c>
      <c r="M14" s="53" t="s">
        <v>2290</v>
      </c>
      <c r="N14" s="52" t="s">
        <v>241</v>
      </c>
      <c r="O14" s="53" t="s">
        <v>2197</v>
      </c>
      <c r="P14" s="53" t="s">
        <v>1538</v>
      </c>
      <c r="Q14" s="52">
        <v>839</v>
      </c>
      <c r="R14" s="52" t="s">
        <v>348</v>
      </c>
      <c r="S14" s="54">
        <v>5</v>
      </c>
      <c r="T14" s="54">
        <f t="shared" si="0"/>
        <v>0</v>
      </c>
      <c r="U14" s="54">
        <f t="shared" si="1"/>
        <v>0</v>
      </c>
      <c r="V14" s="54">
        <v>0</v>
      </c>
      <c r="W14" s="52"/>
      <c r="X14" s="52">
        <v>2012</v>
      </c>
      <c r="Y14" s="52">
        <v>11.14</v>
      </c>
      <c r="Z14" s="171"/>
    </row>
    <row r="15" spans="1:27" s="55" customFormat="1" ht="114.75">
      <c r="A15" s="65"/>
      <c r="B15" s="52" t="s">
        <v>2791</v>
      </c>
      <c r="C15" s="78" t="s">
        <v>246</v>
      </c>
      <c r="D15" s="58" t="s">
        <v>1963</v>
      </c>
      <c r="E15" s="56" t="s">
        <v>1851</v>
      </c>
      <c r="F15" s="53" t="s">
        <v>2196</v>
      </c>
      <c r="G15" s="53"/>
      <c r="H15" s="52" t="s">
        <v>245</v>
      </c>
      <c r="I15" s="52">
        <v>50</v>
      </c>
      <c r="J15" s="52">
        <v>751000000</v>
      </c>
      <c r="K15" s="53" t="s">
        <v>2290</v>
      </c>
      <c r="L15" s="53" t="s">
        <v>2475</v>
      </c>
      <c r="M15" s="53" t="s">
        <v>2290</v>
      </c>
      <c r="N15" s="52" t="s">
        <v>241</v>
      </c>
      <c r="O15" s="53" t="s">
        <v>2303</v>
      </c>
      <c r="P15" s="53" t="s">
        <v>1538</v>
      </c>
      <c r="Q15" s="52">
        <v>839</v>
      </c>
      <c r="R15" s="52" t="s">
        <v>348</v>
      </c>
      <c r="S15" s="54">
        <v>5</v>
      </c>
      <c r="T15" s="54">
        <f t="shared" si="0"/>
        <v>746765.78947368427</v>
      </c>
      <c r="U15" s="54">
        <f t="shared" si="1"/>
        <v>3800504.4642857146</v>
      </c>
      <c r="V15" s="54">
        <v>4256565</v>
      </c>
      <c r="W15" s="52"/>
      <c r="X15" s="52">
        <v>2012</v>
      </c>
      <c r="Y15" s="52"/>
      <c r="Z15" s="171"/>
    </row>
    <row r="16" spans="1:27" s="55" customFormat="1" ht="114.75">
      <c r="A16" s="65"/>
      <c r="B16" s="52" t="s">
        <v>837</v>
      </c>
      <c r="C16" s="78" t="s">
        <v>246</v>
      </c>
      <c r="D16" s="58" t="s">
        <v>249</v>
      </c>
      <c r="E16" s="56" t="s">
        <v>1852</v>
      </c>
      <c r="F16" s="53" t="s">
        <v>2198</v>
      </c>
      <c r="G16" s="53"/>
      <c r="H16" s="52" t="s">
        <v>245</v>
      </c>
      <c r="I16" s="52">
        <v>50</v>
      </c>
      <c r="J16" s="52">
        <v>751000000</v>
      </c>
      <c r="K16" s="53" t="s">
        <v>2290</v>
      </c>
      <c r="L16" s="52" t="s">
        <v>1471</v>
      </c>
      <c r="M16" s="53" t="s">
        <v>2290</v>
      </c>
      <c r="N16" s="52" t="s">
        <v>241</v>
      </c>
      <c r="O16" s="53" t="s">
        <v>2197</v>
      </c>
      <c r="P16" s="53" t="s">
        <v>1538</v>
      </c>
      <c r="Q16" s="52">
        <v>796</v>
      </c>
      <c r="R16" s="52" t="s">
        <v>1818</v>
      </c>
      <c r="S16" s="54">
        <v>10</v>
      </c>
      <c r="T16" s="54">
        <f t="shared" si="0"/>
        <v>0</v>
      </c>
      <c r="U16" s="54">
        <f t="shared" si="1"/>
        <v>0</v>
      </c>
      <c r="V16" s="54">
        <v>0</v>
      </c>
      <c r="W16" s="52"/>
      <c r="X16" s="52">
        <v>2012</v>
      </c>
      <c r="Y16" s="52">
        <v>11.14</v>
      </c>
      <c r="Z16" s="171"/>
    </row>
    <row r="17" spans="1:26" s="55" customFormat="1" ht="114.75">
      <c r="A17" s="65"/>
      <c r="B17" s="52" t="s">
        <v>2792</v>
      </c>
      <c r="C17" s="78" t="s">
        <v>246</v>
      </c>
      <c r="D17" s="58" t="s">
        <v>249</v>
      </c>
      <c r="E17" s="56" t="s">
        <v>1852</v>
      </c>
      <c r="F17" s="53" t="s">
        <v>2198</v>
      </c>
      <c r="G17" s="53"/>
      <c r="H17" s="52" t="s">
        <v>245</v>
      </c>
      <c r="I17" s="52">
        <v>50</v>
      </c>
      <c r="J17" s="52">
        <v>751000000</v>
      </c>
      <c r="K17" s="53" t="s">
        <v>2290</v>
      </c>
      <c r="L17" s="53" t="s">
        <v>2475</v>
      </c>
      <c r="M17" s="53" t="s">
        <v>2290</v>
      </c>
      <c r="N17" s="52" t="s">
        <v>241</v>
      </c>
      <c r="O17" s="53" t="s">
        <v>2303</v>
      </c>
      <c r="P17" s="53" t="s">
        <v>1538</v>
      </c>
      <c r="Q17" s="52">
        <v>796</v>
      </c>
      <c r="R17" s="52" t="s">
        <v>1818</v>
      </c>
      <c r="S17" s="54">
        <v>10</v>
      </c>
      <c r="T17" s="54">
        <f t="shared" si="0"/>
        <v>27631.57894736842</v>
      </c>
      <c r="U17" s="54">
        <f t="shared" si="1"/>
        <v>281250</v>
      </c>
      <c r="V17" s="54">
        <v>315000</v>
      </c>
      <c r="W17" s="52"/>
      <c r="X17" s="52">
        <v>2012</v>
      </c>
      <c r="Y17" s="52"/>
      <c r="Z17" s="171"/>
    </row>
    <row r="18" spans="1:26" s="55" customFormat="1" ht="114.75">
      <c r="A18" s="65"/>
      <c r="B18" s="52" t="s">
        <v>838</v>
      </c>
      <c r="C18" s="78" t="s">
        <v>246</v>
      </c>
      <c r="D18" s="58" t="s">
        <v>1964</v>
      </c>
      <c r="E18" s="56" t="s">
        <v>95</v>
      </c>
      <c r="F18" s="53" t="s">
        <v>2199</v>
      </c>
      <c r="G18" s="53"/>
      <c r="H18" s="52" t="s">
        <v>245</v>
      </c>
      <c r="I18" s="52">
        <v>50</v>
      </c>
      <c r="J18" s="52">
        <v>751000000</v>
      </c>
      <c r="K18" s="53" t="s">
        <v>2290</v>
      </c>
      <c r="L18" s="52" t="s">
        <v>1471</v>
      </c>
      <c r="M18" s="53" t="s">
        <v>2290</v>
      </c>
      <c r="N18" s="52" t="s">
        <v>241</v>
      </c>
      <c r="O18" s="53" t="s">
        <v>2197</v>
      </c>
      <c r="P18" s="53" t="s">
        <v>1538</v>
      </c>
      <c r="Q18" s="52">
        <v>796</v>
      </c>
      <c r="R18" s="52" t="s">
        <v>1818</v>
      </c>
      <c r="S18" s="54">
        <v>5</v>
      </c>
      <c r="T18" s="54">
        <f>V18/114*100/S18</f>
        <v>0</v>
      </c>
      <c r="U18" s="54">
        <f t="shared" si="1"/>
        <v>0</v>
      </c>
      <c r="V18" s="54">
        <v>0</v>
      </c>
      <c r="W18" s="52"/>
      <c r="X18" s="52">
        <v>2012</v>
      </c>
      <c r="Y18" s="52">
        <v>11.14</v>
      </c>
    </row>
    <row r="19" spans="1:26" s="55" customFormat="1" ht="114.75">
      <c r="A19" s="65"/>
      <c r="B19" s="52" t="s">
        <v>2793</v>
      </c>
      <c r="C19" s="78" t="s">
        <v>246</v>
      </c>
      <c r="D19" s="58" t="s">
        <v>1964</v>
      </c>
      <c r="E19" s="56" t="s">
        <v>95</v>
      </c>
      <c r="F19" s="53" t="s">
        <v>2199</v>
      </c>
      <c r="G19" s="53"/>
      <c r="H19" s="52" t="s">
        <v>245</v>
      </c>
      <c r="I19" s="52">
        <v>50</v>
      </c>
      <c r="J19" s="52">
        <v>751000000</v>
      </c>
      <c r="K19" s="53" t="s">
        <v>2290</v>
      </c>
      <c r="L19" s="53" t="s">
        <v>2475</v>
      </c>
      <c r="M19" s="53" t="s">
        <v>2290</v>
      </c>
      <c r="N19" s="52" t="s">
        <v>241</v>
      </c>
      <c r="O19" s="53" t="s">
        <v>2303</v>
      </c>
      <c r="P19" s="53" t="s">
        <v>1538</v>
      </c>
      <c r="Q19" s="52">
        <v>796</v>
      </c>
      <c r="R19" s="52" t="s">
        <v>1818</v>
      </c>
      <c r="S19" s="54">
        <v>5</v>
      </c>
      <c r="T19" s="54">
        <f>V19/114*100/S19</f>
        <v>28508.771929824561</v>
      </c>
      <c r="U19" s="54">
        <f t="shared" si="1"/>
        <v>145089.28571428571</v>
      </c>
      <c r="V19" s="54">
        <v>162500</v>
      </c>
      <c r="W19" s="52"/>
      <c r="X19" s="52">
        <v>2012</v>
      </c>
      <c r="Y19" s="52"/>
    </row>
    <row r="20" spans="1:26" s="55" customFormat="1" ht="114.75">
      <c r="A20" s="65"/>
      <c r="B20" s="52" t="s">
        <v>839</v>
      </c>
      <c r="C20" s="78" t="s">
        <v>246</v>
      </c>
      <c r="D20" s="58" t="s">
        <v>1964</v>
      </c>
      <c r="E20" s="56" t="s">
        <v>1822</v>
      </c>
      <c r="F20" s="56" t="s">
        <v>2200</v>
      </c>
      <c r="G20" s="56"/>
      <c r="H20" s="52" t="s">
        <v>245</v>
      </c>
      <c r="I20" s="52">
        <v>50</v>
      </c>
      <c r="J20" s="52">
        <v>751000000</v>
      </c>
      <c r="K20" s="53" t="s">
        <v>2290</v>
      </c>
      <c r="L20" s="52" t="s">
        <v>1471</v>
      </c>
      <c r="M20" s="53" t="s">
        <v>2290</v>
      </c>
      <c r="N20" s="52" t="s">
        <v>241</v>
      </c>
      <c r="O20" s="53" t="s">
        <v>2197</v>
      </c>
      <c r="P20" s="53" t="s">
        <v>1538</v>
      </c>
      <c r="Q20" s="52">
        <v>796</v>
      </c>
      <c r="R20" s="52" t="s">
        <v>1818</v>
      </c>
      <c r="S20" s="54">
        <v>20</v>
      </c>
      <c r="T20" s="54">
        <f t="shared" si="0"/>
        <v>0</v>
      </c>
      <c r="U20" s="54">
        <f t="shared" si="1"/>
        <v>0</v>
      </c>
      <c r="V20" s="54">
        <v>0</v>
      </c>
      <c r="W20" s="52"/>
      <c r="X20" s="52">
        <v>2012</v>
      </c>
      <c r="Y20" s="52">
        <v>11.14</v>
      </c>
      <c r="Z20" s="171"/>
    </row>
    <row r="21" spans="1:26" s="55" customFormat="1" ht="114.75">
      <c r="A21" s="65"/>
      <c r="B21" s="52" t="s">
        <v>2794</v>
      </c>
      <c r="C21" s="78" t="s">
        <v>246</v>
      </c>
      <c r="D21" s="58" t="s">
        <v>1964</v>
      </c>
      <c r="E21" s="56" t="s">
        <v>1822</v>
      </c>
      <c r="F21" s="56" t="s">
        <v>2200</v>
      </c>
      <c r="G21" s="56"/>
      <c r="H21" s="52" t="s">
        <v>245</v>
      </c>
      <c r="I21" s="52">
        <v>50</v>
      </c>
      <c r="J21" s="52">
        <v>751000000</v>
      </c>
      <c r="K21" s="53" t="s">
        <v>2290</v>
      </c>
      <c r="L21" s="53" t="s">
        <v>2475</v>
      </c>
      <c r="M21" s="53" t="s">
        <v>2290</v>
      </c>
      <c r="N21" s="52" t="s">
        <v>241</v>
      </c>
      <c r="O21" s="53" t="s">
        <v>2303</v>
      </c>
      <c r="P21" s="53" t="s">
        <v>1538</v>
      </c>
      <c r="Q21" s="52">
        <v>796</v>
      </c>
      <c r="R21" s="52" t="s">
        <v>1818</v>
      </c>
      <c r="S21" s="54">
        <v>20</v>
      </c>
      <c r="T21" s="54">
        <f t="shared" si="0"/>
        <v>7368.4210526315783</v>
      </c>
      <c r="U21" s="54">
        <f t="shared" si="1"/>
        <v>150000</v>
      </c>
      <c r="V21" s="54">
        <v>168000</v>
      </c>
      <c r="W21" s="52"/>
      <c r="X21" s="52">
        <v>2012</v>
      </c>
      <c r="Y21" s="52"/>
      <c r="Z21" s="171"/>
    </row>
    <row r="22" spans="1:26" s="55" customFormat="1" ht="114.75">
      <c r="A22" s="65"/>
      <c r="B22" s="52" t="s">
        <v>840</v>
      </c>
      <c r="C22" s="78" t="s">
        <v>246</v>
      </c>
      <c r="D22" s="58" t="s">
        <v>1964</v>
      </c>
      <c r="E22" s="56" t="s">
        <v>1853</v>
      </c>
      <c r="F22" s="53" t="s">
        <v>1551</v>
      </c>
      <c r="G22" s="53"/>
      <c r="H22" s="52" t="s">
        <v>245</v>
      </c>
      <c r="I22" s="52">
        <v>50</v>
      </c>
      <c r="J22" s="52">
        <v>751000000</v>
      </c>
      <c r="K22" s="53" t="s">
        <v>2290</v>
      </c>
      <c r="L22" s="52" t="s">
        <v>1471</v>
      </c>
      <c r="M22" s="53" t="s">
        <v>2290</v>
      </c>
      <c r="N22" s="52" t="s">
        <v>241</v>
      </c>
      <c r="O22" s="53" t="s">
        <v>2197</v>
      </c>
      <c r="P22" s="53" t="s">
        <v>1538</v>
      </c>
      <c r="Q22" s="52">
        <v>796</v>
      </c>
      <c r="R22" s="52" t="s">
        <v>1818</v>
      </c>
      <c r="S22" s="54">
        <v>30</v>
      </c>
      <c r="T22" s="54">
        <f t="shared" si="0"/>
        <v>0</v>
      </c>
      <c r="U22" s="54">
        <f t="shared" si="1"/>
        <v>0</v>
      </c>
      <c r="V22" s="54">
        <v>0</v>
      </c>
      <c r="W22" s="52"/>
      <c r="X22" s="52">
        <v>2012</v>
      </c>
      <c r="Y22" s="52">
        <v>11.14</v>
      </c>
      <c r="Z22" s="171"/>
    </row>
    <row r="23" spans="1:26" s="55" customFormat="1" ht="114.75">
      <c r="A23" s="65"/>
      <c r="B23" s="52" t="s">
        <v>2795</v>
      </c>
      <c r="C23" s="78" t="s">
        <v>246</v>
      </c>
      <c r="D23" s="58" t="s">
        <v>1964</v>
      </c>
      <c r="E23" s="56" t="s">
        <v>1853</v>
      </c>
      <c r="F23" s="53" t="s">
        <v>1551</v>
      </c>
      <c r="G23" s="53"/>
      <c r="H23" s="52" t="s">
        <v>245</v>
      </c>
      <c r="I23" s="52">
        <v>50</v>
      </c>
      <c r="J23" s="52">
        <v>751000000</v>
      </c>
      <c r="K23" s="53" t="s">
        <v>2290</v>
      </c>
      <c r="L23" s="53" t="s">
        <v>2475</v>
      </c>
      <c r="M23" s="53" t="s">
        <v>2290</v>
      </c>
      <c r="N23" s="52" t="s">
        <v>241</v>
      </c>
      <c r="O23" s="53" t="s">
        <v>2303</v>
      </c>
      <c r="P23" s="53" t="s">
        <v>1538</v>
      </c>
      <c r="Q23" s="52">
        <v>796</v>
      </c>
      <c r="R23" s="52" t="s">
        <v>1818</v>
      </c>
      <c r="S23" s="54">
        <v>30</v>
      </c>
      <c r="T23" s="54">
        <f t="shared" si="0"/>
        <v>3596.4912280701756</v>
      </c>
      <c r="U23" s="54">
        <f t="shared" si="1"/>
        <v>109821.42857142858</v>
      </c>
      <c r="V23" s="54">
        <v>123000</v>
      </c>
      <c r="W23" s="52"/>
      <c r="X23" s="52">
        <v>2012</v>
      </c>
      <c r="Y23" s="52"/>
      <c r="Z23" s="171"/>
    </row>
    <row r="24" spans="1:26" s="55" customFormat="1" ht="114.75">
      <c r="A24" s="65"/>
      <c r="B24" s="52" t="s">
        <v>841</v>
      </c>
      <c r="C24" s="78" t="s">
        <v>246</v>
      </c>
      <c r="D24" s="58" t="s">
        <v>249</v>
      </c>
      <c r="E24" s="56" t="s">
        <v>90</v>
      </c>
      <c r="F24" s="53" t="s">
        <v>2201</v>
      </c>
      <c r="G24" s="53"/>
      <c r="H24" s="52" t="s">
        <v>245</v>
      </c>
      <c r="I24" s="52">
        <v>0</v>
      </c>
      <c r="J24" s="52">
        <v>751000000</v>
      </c>
      <c r="K24" s="53" t="s">
        <v>2290</v>
      </c>
      <c r="L24" s="52" t="s">
        <v>1502</v>
      </c>
      <c r="M24" s="53" t="s">
        <v>2290</v>
      </c>
      <c r="N24" s="52" t="s">
        <v>241</v>
      </c>
      <c r="O24" s="52" t="s">
        <v>1502</v>
      </c>
      <c r="P24" s="53" t="s">
        <v>1538</v>
      </c>
      <c r="Q24" s="52">
        <v>796</v>
      </c>
      <c r="R24" s="52" t="s">
        <v>1818</v>
      </c>
      <c r="S24" s="54">
        <v>15</v>
      </c>
      <c r="T24" s="54">
        <f t="shared" ref="T24:T30" si="2">V24/114*100/S24</f>
        <v>22807.017543859653</v>
      </c>
      <c r="U24" s="54">
        <f t="shared" ref="U24:U33" si="3">V24/112*100</f>
        <v>348214.28571428574</v>
      </c>
      <c r="V24" s="54">
        <v>390000</v>
      </c>
      <c r="W24" s="52"/>
      <c r="X24" s="52">
        <v>2012</v>
      </c>
      <c r="Y24" s="52"/>
      <c r="Z24" s="171"/>
    </row>
    <row r="25" spans="1:26" s="55" customFormat="1" ht="114.75">
      <c r="A25" s="65"/>
      <c r="B25" s="52" t="s">
        <v>842</v>
      </c>
      <c r="C25" s="78" t="s">
        <v>246</v>
      </c>
      <c r="D25" s="58" t="s">
        <v>1965</v>
      </c>
      <c r="E25" s="56" t="s">
        <v>1854</v>
      </c>
      <c r="F25" s="56" t="s">
        <v>2202</v>
      </c>
      <c r="G25" s="56"/>
      <c r="H25" s="52" t="s">
        <v>243</v>
      </c>
      <c r="I25" s="52">
        <v>0</v>
      </c>
      <c r="J25" s="52">
        <v>751000000</v>
      </c>
      <c r="K25" s="53" t="s">
        <v>2290</v>
      </c>
      <c r="L25" s="52" t="s">
        <v>1471</v>
      </c>
      <c r="M25" s="53" t="s">
        <v>2290</v>
      </c>
      <c r="N25" s="52" t="s">
        <v>241</v>
      </c>
      <c r="O25" s="53" t="s">
        <v>2197</v>
      </c>
      <c r="P25" s="53" t="s">
        <v>344</v>
      </c>
      <c r="Q25" s="52">
        <v>796</v>
      </c>
      <c r="R25" s="52" t="s">
        <v>1818</v>
      </c>
      <c r="S25" s="54">
        <v>1</v>
      </c>
      <c r="T25" s="54">
        <f t="shared" si="2"/>
        <v>0</v>
      </c>
      <c r="U25" s="54">
        <f t="shared" si="3"/>
        <v>0</v>
      </c>
      <c r="V25" s="54">
        <v>0</v>
      </c>
      <c r="W25" s="52"/>
      <c r="X25" s="52">
        <v>2012</v>
      </c>
      <c r="Y25" s="52">
        <v>21</v>
      </c>
      <c r="Z25" s="171"/>
    </row>
    <row r="26" spans="1:26" s="55" customFormat="1" ht="114.75">
      <c r="A26" s="65"/>
      <c r="B26" s="52" t="s">
        <v>2533</v>
      </c>
      <c r="C26" s="78" t="s">
        <v>246</v>
      </c>
      <c r="D26" s="58" t="s">
        <v>1965</v>
      </c>
      <c r="E26" s="56" t="s">
        <v>1854</v>
      </c>
      <c r="F26" s="56" t="s">
        <v>2202</v>
      </c>
      <c r="G26" s="56"/>
      <c r="H26" s="52" t="s">
        <v>243</v>
      </c>
      <c r="I26" s="52">
        <v>0</v>
      </c>
      <c r="J26" s="52">
        <v>751000000</v>
      </c>
      <c r="K26" s="53" t="s">
        <v>2290</v>
      </c>
      <c r="L26" s="52" t="s">
        <v>1471</v>
      </c>
      <c r="M26" s="53" t="s">
        <v>2290</v>
      </c>
      <c r="N26" s="52" t="s">
        <v>241</v>
      </c>
      <c r="O26" s="53" t="s">
        <v>2197</v>
      </c>
      <c r="P26" s="53" t="s">
        <v>344</v>
      </c>
      <c r="Q26" s="52">
        <v>796</v>
      </c>
      <c r="R26" s="52" t="s">
        <v>1818</v>
      </c>
      <c r="S26" s="54">
        <v>1</v>
      </c>
      <c r="T26" s="54">
        <f t="shared" si="2"/>
        <v>0</v>
      </c>
      <c r="U26" s="54">
        <f t="shared" si="3"/>
        <v>0</v>
      </c>
      <c r="V26" s="54">
        <v>0</v>
      </c>
      <c r="W26" s="52"/>
      <c r="X26" s="52">
        <v>2012</v>
      </c>
      <c r="Y26" s="52" t="s">
        <v>2661</v>
      </c>
      <c r="Z26" s="171"/>
    </row>
    <row r="27" spans="1:26" s="55" customFormat="1" ht="114.75">
      <c r="A27" s="65"/>
      <c r="B27" s="52" t="s">
        <v>2662</v>
      </c>
      <c r="C27" s="78" t="s">
        <v>246</v>
      </c>
      <c r="D27" s="58" t="s">
        <v>1965</v>
      </c>
      <c r="E27" s="56" t="s">
        <v>1854</v>
      </c>
      <c r="F27" s="56" t="s">
        <v>2202</v>
      </c>
      <c r="G27" s="56"/>
      <c r="H27" s="52" t="s">
        <v>243</v>
      </c>
      <c r="I27" s="52">
        <v>0</v>
      </c>
      <c r="J27" s="52">
        <v>751000000</v>
      </c>
      <c r="K27" s="53" t="s">
        <v>2290</v>
      </c>
      <c r="L27" s="52" t="s">
        <v>1548</v>
      </c>
      <c r="M27" s="53" t="s">
        <v>2290</v>
      </c>
      <c r="N27" s="52" t="s">
        <v>241</v>
      </c>
      <c r="O27" s="53" t="s">
        <v>1548</v>
      </c>
      <c r="P27" s="53" t="s">
        <v>344</v>
      </c>
      <c r="Q27" s="52">
        <v>796</v>
      </c>
      <c r="R27" s="52" t="s">
        <v>1818</v>
      </c>
      <c r="S27" s="54">
        <v>1</v>
      </c>
      <c r="T27" s="54">
        <f t="shared" si="2"/>
        <v>140350.87719298247</v>
      </c>
      <c r="U27" s="54">
        <f t="shared" si="3"/>
        <v>142857.14285714287</v>
      </c>
      <c r="V27" s="54">
        <f>139090+20910</f>
        <v>160000</v>
      </c>
      <c r="W27" s="52"/>
      <c r="X27" s="52">
        <v>2012</v>
      </c>
      <c r="Y27" s="52"/>
      <c r="Z27" s="171"/>
    </row>
    <row r="28" spans="1:26" s="55" customFormat="1" ht="114.75">
      <c r="A28" s="65"/>
      <c r="B28" s="52" t="s">
        <v>843</v>
      </c>
      <c r="C28" s="78" t="s">
        <v>246</v>
      </c>
      <c r="D28" s="58" t="s">
        <v>1966</v>
      </c>
      <c r="E28" s="56" t="s">
        <v>1855</v>
      </c>
      <c r="F28" s="56" t="s">
        <v>2203</v>
      </c>
      <c r="G28" s="56"/>
      <c r="H28" s="52" t="s">
        <v>243</v>
      </c>
      <c r="I28" s="52">
        <v>0</v>
      </c>
      <c r="J28" s="52">
        <v>751000000</v>
      </c>
      <c r="K28" s="53" t="s">
        <v>2290</v>
      </c>
      <c r="L28" s="52" t="s">
        <v>1471</v>
      </c>
      <c r="M28" s="53" t="s">
        <v>2290</v>
      </c>
      <c r="N28" s="52" t="s">
        <v>241</v>
      </c>
      <c r="O28" s="53" t="s">
        <v>2197</v>
      </c>
      <c r="P28" s="53" t="s">
        <v>344</v>
      </c>
      <c r="Q28" s="52">
        <v>796</v>
      </c>
      <c r="R28" s="52" t="s">
        <v>1818</v>
      </c>
      <c r="S28" s="54">
        <v>1</v>
      </c>
      <c r="T28" s="54">
        <f t="shared" si="2"/>
        <v>0</v>
      </c>
      <c r="U28" s="54">
        <f t="shared" si="3"/>
        <v>0</v>
      </c>
      <c r="V28" s="54">
        <v>0</v>
      </c>
      <c r="W28" s="52"/>
      <c r="X28" s="52">
        <v>2012</v>
      </c>
      <c r="Y28" s="52">
        <v>21</v>
      </c>
      <c r="Z28" s="171"/>
    </row>
    <row r="29" spans="1:26" s="55" customFormat="1" ht="114.75">
      <c r="A29" s="65"/>
      <c r="B29" s="52" t="s">
        <v>2534</v>
      </c>
      <c r="C29" s="78" t="s">
        <v>246</v>
      </c>
      <c r="D29" s="58" t="s">
        <v>1966</v>
      </c>
      <c r="E29" s="56" t="s">
        <v>1855</v>
      </c>
      <c r="F29" s="56" t="s">
        <v>2203</v>
      </c>
      <c r="G29" s="56"/>
      <c r="H29" s="52" t="s">
        <v>243</v>
      </c>
      <c r="I29" s="52">
        <v>0</v>
      </c>
      <c r="J29" s="52">
        <v>751000000</v>
      </c>
      <c r="K29" s="53" t="s">
        <v>2290</v>
      </c>
      <c r="L29" s="52" t="s">
        <v>1471</v>
      </c>
      <c r="M29" s="53" t="s">
        <v>2290</v>
      </c>
      <c r="N29" s="52" t="s">
        <v>241</v>
      </c>
      <c r="O29" s="53" t="s">
        <v>2197</v>
      </c>
      <c r="P29" s="53" t="s">
        <v>344</v>
      </c>
      <c r="Q29" s="52">
        <v>796</v>
      </c>
      <c r="R29" s="52" t="s">
        <v>1818</v>
      </c>
      <c r="S29" s="54">
        <v>1</v>
      </c>
      <c r="T29" s="54">
        <f t="shared" si="2"/>
        <v>0</v>
      </c>
      <c r="U29" s="54">
        <f t="shared" si="3"/>
        <v>0</v>
      </c>
      <c r="V29" s="54">
        <v>0</v>
      </c>
      <c r="W29" s="52"/>
      <c r="X29" s="52">
        <v>2012</v>
      </c>
      <c r="Y29" s="52" t="s">
        <v>2661</v>
      </c>
      <c r="Z29" s="171"/>
    </row>
    <row r="30" spans="1:26" s="55" customFormat="1" ht="114.75">
      <c r="A30" s="65"/>
      <c r="B30" s="52" t="s">
        <v>2663</v>
      </c>
      <c r="C30" s="78" t="s">
        <v>246</v>
      </c>
      <c r="D30" s="58" t="s">
        <v>1966</v>
      </c>
      <c r="E30" s="56" t="s">
        <v>1855</v>
      </c>
      <c r="F30" s="56" t="s">
        <v>2203</v>
      </c>
      <c r="G30" s="56"/>
      <c r="H30" s="52" t="s">
        <v>243</v>
      </c>
      <c r="I30" s="52">
        <v>0</v>
      </c>
      <c r="J30" s="52">
        <v>751000000</v>
      </c>
      <c r="K30" s="53" t="s">
        <v>2290</v>
      </c>
      <c r="L30" s="52" t="s">
        <v>1548</v>
      </c>
      <c r="M30" s="53" t="s">
        <v>2290</v>
      </c>
      <c r="N30" s="52" t="s">
        <v>241</v>
      </c>
      <c r="O30" s="53" t="s">
        <v>1548</v>
      </c>
      <c r="P30" s="53" t="s">
        <v>344</v>
      </c>
      <c r="Q30" s="52">
        <v>796</v>
      </c>
      <c r="R30" s="52" t="s">
        <v>1818</v>
      </c>
      <c r="S30" s="54">
        <v>1</v>
      </c>
      <c r="T30" s="54">
        <f t="shared" si="2"/>
        <v>191228.0701754386</v>
      </c>
      <c r="U30" s="54">
        <f t="shared" si="3"/>
        <v>194642.85714285713</v>
      </c>
      <c r="V30" s="54">
        <f>74890+143110</f>
        <v>218000</v>
      </c>
      <c r="W30" s="52"/>
      <c r="X30" s="52">
        <v>2012</v>
      </c>
      <c r="Y30" s="52"/>
      <c r="Z30" s="171"/>
    </row>
    <row r="31" spans="1:26" s="55" customFormat="1" ht="114.75">
      <c r="A31" s="65"/>
      <c r="B31" s="52" t="s">
        <v>844</v>
      </c>
      <c r="C31" s="78" t="s">
        <v>246</v>
      </c>
      <c r="D31" s="57" t="s">
        <v>2035</v>
      </c>
      <c r="E31" s="56" t="s">
        <v>1983</v>
      </c>
      <c r="F31" s="53" t="s">
        <v>1967</v>
      </c>
      <c r="G31" s="53"/>
      <c r="H31" s="52" t="s">
        <v>243</v>
      </c>
      <c r="I31" s="52">
        <v>0</v>
      </c>
      <c r="J31" s="52">
        <v>751000000</v>
      </c>
      <c r="K31" s="53" t="s">
        <v>2290</v>
      </c>
      <c r="L31" s="52" t="s">
        <v>1464</v>
      </c>
      <c r="M31" s="53" t="s">
        <v>2290</v>
      </c>
      <c r="N31" s="52" t="s">
        <v>241</v>
      </c>
      <c r="O31" s="52" t="s">
        <v>1502</v>
      </c>
      <c r="P31" s="53" t="s">
        <v>344</v>
      </c>
      <c r="Q31" s="52">
        <v>796</v>
      </c>
      <c r="R31" s="52" t="s">
        <v>1818</v>
      </c>
      <c r="S31" s="54">
        <v>0</v>
      </c>
      <c r="T31" s="54">
        <v>30702</v>
      </c>
      <c r="U31" s="54">
        <f t="shared" si="3"/>
        <v>0</v>
      </c>
      <c r="V31" s="54">
        <v>0</v>
      </c>
      <c r="W31" s="52"/>
      <c r="X31" s="52">
        <v>2012</v>
      </c>
      <c r="Y31" s="52" t="s">
        <v>2506</v>
      </c>
      <c r="Z31" s="171"/>
    </row>
    <row r="32" spans="1:26" s="55" customFormat="1" ht="114.75">
      <c r="A32" s="65"/>
      <c r="B32" s="52" t="s">
        <v>2525</v>
      </c>
      <c r="C32" s="78" t="s">
        <v>246</v>
      </c>
      <c r="D32" s="57" t="s">
        <v>2035</v>
      </c>
      <c r="E32" s="56" t="s">
        <v>1983</v>
      </c>
      <c r="F32" s="53" t="s">
        <v>1967</v>
      </c>
      <c r="G32" s="53"/>
      <c r="H32" s="52" t="s">
        <v>243</v>
      </c>
      <c r="I32" s="52">
        <v>0</v>
      </c>
      <c r="J32" s="52">
        <v>751000000</v>
      </c>
      <c r="K32" s="53" t="s">
        <v>2290</v>
      </c>
      <c r="L32" s="52" t="s">
        <v>1464</v>
      </c>
      <c r="M32" s="53" t="s">
        <v>2290</v>
      </c>
      <c r="N32" s="52" t="s">
        <v>241</v>
      </c>
      <c r="O32" s="52" t="s">
        <v>1502</v>
      </c>
      <c r="P32" s="53" t="s">
        <v>344</v>
      </c>
      <c r="Q32" s="52">
        <v>796</v>
      </c>
      <c r="R32" s="52" t="s">
        <v>1818</v>
      </c>
      <c r="S32" s="54">
        <v>18</v>
      </c>
      <c r="T32" s="54">
        <v>30702</v>
      </c>
      <c r="U32" s="54">
        <f t="shared" si="3"/>
        <v>0</v>
      </c>
      <c r="V32" s="54">
        <v>0</v>
      </c>
      <c r="W32" s="52"/>
      <c r="X32" s="52">
        <v>2012</v>
      </c>
      <c r="Y32" s="52">
        <v>11.14</v>
      </c>
      <c r="Z32" s="171"/>
    </row>
    <row r="33" spans="1:26" s="55" customFormat="1" ht="114.75">
      <c r="A33" s="65"/>
      <c r="B33" s="52" t="s">
        <v>2796</v>
      </c>
      <c r="C33" s="78" t="s">
        <v>246</v>
      </c>
      <c r="D33" s="57" t="s">
        <v>2035</v>
      </c>
      <c r="E33" s="56" t="s">
        <v>1983</v>
      </c>
      <c r="F33" s="53" t="s">
        <v>1967</v>
      </c>
      <c r="G33" s="53"/>
      <c r="H33" s="52" t="s">
        <v>243</v>
      </c>
      <c r="I33" s="52">
        <v>0</v>
      </c>
      <c r="J33" s="52">
        <v>751000000</v>
      </c>
      <c r="K33" s="53" t="s">
        <v>2290</v>
      </c>
      <c r="L33" s="52" t="s">
        <v>1502</v>
      </c>
      <c r="M33" s="53" t="s">
        <v>2290</v>
      </c>
      <c r="N33" s="52" t="s">
        <v>241</v>
      </c>
      <c r="O33" s="52" t="s">
        <v>1501</v>
      </c>
      <c r="P33" s="53" t="s">
        <v>344</v>
      </c>
      <c r="Q33" s="52">
        <v>796</v>
      </c>
      <c r="R33" s="52" t="s">
        <v>1818</v>
      </c>
      <c r="S33" s="54">
        <v>18</v>
      </c>
      <c r="T33" s="54">
        <v>30702</v>
      </c>
      <c r="U33" s="54">
        <f t="shared" si="3"/>
        <v>602678.57142857148</v>
      </c>
      <c r="V33" s="54">
        <v>675000</v>
      </c>
      <c r="W33" s="52"/>
      <c r="X33" s="52">
        <v>2012</v>
      </c>
      <c r="Y33" s="52"/>
      <c r="Z33" s="171"/>
    </row>
    <row r="34" spans="1:26" s="55" customFormat="1" ht="114.75">
      <c r="A34" s="65"/>
      <c r="B34" s="52" t="s">
        <v>845</v>
      </c>
      <c r="C34" s="78" t="s">
        <v>246</v>
      </c>
      <c r="D34" s="58" t="s">
        <v>266</v>
      </c>
      <c r="E34" s="56" t="s">
        <v>1984</v>
      </c>
      <c r="F34" s="53" t="s">
        <v>1985</v>
      </c>
      <c r="G34" s="53"/>
      <c r="H34" s="52" t="s">
        <v>243</v>
      </c>
      <c r="I34" s="52">
        <v>0</v>
      </c>
      <c r="J34" s="52">
        <v>751000000</v>
      </c>
      <c r="K34" s="53" t="s">
        <v>2290</v>
      </c>
      <c r="L34" s="52" t="s">
        <v>1464</v>
      </c>
      <c r="M34" s="53" t="s">
        <v>2290</v>
      </c>
      <c r="N34" s="52" t="s">
        <v>241</v>
      </c>
      <c r="O34" s="52" t="s">
        <v>1502</v>
      </c>
      <c r="P34" s="53" t="s">
        <v>344</v>
      </c>
      <c r="Q34" s="52">
        <v>796</v>
      </c>
      <c r="R34" s="52" t="s">
        <v>1818</v>
      </c>
      <c r="S34" s="54">
        <v>0</v>
      </c>
      <c r="T34" s="54">
        <v>39474</v>
      </c>
      <c r="U34" s="54">
        <f t="shared" ref="U34:U38" si="4">V34/112*100</f>
        <v>0</v>
      </c>
      <c r="V34" s="54">
        <v>0</v>
      </c>
      <c r="W34" s="52"/>
      <c r="X34" s="52">
        <v>2012</v>
      </c>
      <c r="Y34" s="52" t="s">
        <v>2506</v>
      </c>
      <c r="Z34" s="171"/>
    </row>
    <row r="35" spans="1:26" s="55" customFormat="1" ht="114.75">
      <c r="B35" s="52" t="s">
        <v>2526</v>
      </c>
      <c r="C35" s="78" t="s">
        <v>246</v>
      </c>
      <c r="D35" s="58" t="s">
        <v>266</v>
      </c>
      <c r="E35" s="56" t="s">
        <v>1984</v>
      </c>
      <c r="F35" s="53" t="s">
        <v>1985</v>
      </c>
      <c r="G35" s="53"/>
      <c r="H35" s="52" t="s">
        <v>243</v>
      </c>
      <c r="I35" s="52">
        <v>0</v>
      </c>
      <c r="J35" s="52">
        <v>751000000</v>
      </c>
      <c r="K35" s="53" t="s">
        <v>2290</v>
      </c>
      <c r="L35" s="52" t="s">
        <v>1464</v>
      </c>
      <c r="M35" s="53" t="s">
        <v>2290</v>
      </c>
      <c r="N35" s="52" t="s">
        <v>241</v>
      </c>
      <c r="O35" s="52" t="s">
        <v>1502</v>
      </c>
      <c r="P35" s="53" t="s">
        <v>344</v>
      </c>
      <c r="Q35" s="52">
        <v>796</v>
      </c>
      <c r="R35" s="52" t="s">
        <v>1818</v>
      </c>
      <c r="S35" s="54">
        <v>16</v>
      </c>
      <c r="T35" s="54">
        <f t="shared" ref="T35:T38" si="5">V35/114*100/S35</f>
        <v>0</v>
      </c>
      <c r="U35" s="54">
        <f t="shared" si="4"/>
        <v>0</v>
      </c>
      <c r="V35" s="54">
        <v>0</v>
      </c>
      <c r="W35" s="52"/>
      <c r="X35" s="52">
        <v>2012</v>
      </c>
      <c r="Y35" s="52" t="s">
        <v>2664</v>
      </c>
      <c r="Z35" s="171"/>
    </row>
    <row r="36" spans="1:26" s="55" customFormat="1" ht="114.75">
      <c r="B36" s="52" t="s">
        <v>2665</v>
      </c>
      <c r="C36" s="78" t="s">
        <v>246</v>
      </c>
      <c r="D36" s="58" t="s">
        <v>266</v>
      </c>
      <c r="E36" s="56" t="s">
        <v>1984</v>
      </c>
      <c r="F36" s="53" t="s">
        <v>2666</v>
      </c>
      <c r="G36" s="53"/>
      <c r="H36" s="52" t="s">
        <v>243</v>
      </c>
      <c r="I36" s="52">
        <v>0</v>
      </c>
      <c r="J36" s="52">
        <v>751000000</v>
      </c>
      <c r="K36" s="53" t="s">
        <v>2290</v>
      </c>
      <c r="L36" s="52" t="s">
        <v>1463</v>
      </c>
      <c r="M36" s="53" t="s">
        <v>2290</v>
      </c>
      <c r="N36" s="52" t="s">
        <v>241</v>
      </c>
      <c r="O36" s="52" t="s">
        <v>1502</v>
      </c>
      <c r="P36" s="53" t="s">
        <v>344</v>
      </c>
      <c r="Q36" s="52">
        <v>796</v>
      </c>
      <c r="R36" s="52" t="s">
        <v>1818</v>
      </c>
      <c r="S36" s="54">
        <v>13</v>
      </c>
      <c r="T36" s="54">
        <f t="shared" si="5"/>
        <v>39473.684210526313</v>
      </c>
      <c r="U36" s="54">
        <f t="shared" si="4"/>
        <v>522321.42857142852</v>
      </c>
      <c r="V36" s="54">
        <v>585000</v>
      </c>
      <c r="W36" s="52"/>
      <c r="X36" s="52">
        <v>2012</v>
      </c>
      <c r="Y36" s="52"/>
      <c r="Z36" s="171"/>
    </row>
    <row r="37" spans="1:26" s="55" customFormat="1" ht="114.75">
      <c r="B37" s="52" t="s">
        <v>846</v>
      </c>
      <c r="C37" s="78" t="s">
        <v>246</v>
      </c>
      <c r="D37" s="58" t="s">
        <v>2058</v>
      </c>
      <c r="E37" s="56" t="s">
        <v>1856</v>
      </c>
      <c r="F37" s="53" t="s">
        <v>1986</v>
      </c>
      <c r="G37" s="53"/>
      <c r="H37" s="52" t="s">
        <v>243</v>
      </c>
      <c r="I37" s="52">
        <v>0</v>
      </c>
      <c r="J37" s="52">
        <v>751000000</v>
      </c>
      <c r="K37" s="53" t="s">
        <v>2290</v>
      </c>
      <c r="L37" s="52" t="s">
        <v>1464</v>
      </c>
      <c r="M37" s="53" t="s">
        <v>2290</v>
      </c>
      <c r="N37" s="52" t="s">
        <v>241</v>
      </c>
      <c r="O37" s="52" t="s">
        <v>1502</v>
      </c>
      <c r="P37" s="53" t="s">
        <v>344</v>
      </c>
      <c r="Q37" s="52">
        <v>796</v>
      </c>
      <c r="R37" s="52" t="s">
        <v>1818</v>
      </c>
      <c r="S37" s="54">
        <v>1</v>
      </c>
      <c r="T37" s="54">
        <f t="shared" si="5"/>
        <v>0</v>
      </c>
      <c r="U37" s="54">
        <f t="shared" si="4"/>
        <v>0</v>
      </c>
      <c r="V37" s="54">
        <v>0</v>
      </c>
      <c r="W37" s="52"/>
      <c r="X37" s="52">
        <v>2012</v>
      </c>
      <c r="Y37" s="52">
        <v>11.14</v>
      </c>
      <c r="Z37" s="171"/>
    </row>
    <row r="38" spans="1:26" s="55" customFormat="1" ht="114.75">
      <c r="B38" s="52" t="s">
        <v>2797</v>
      </c>
      <c r="C38" s="78" t="s">
        <v>246</v>
      </c>
      <c r="D38" s="58" t="s">
        <v>2058</v>
      </c>
      <c r="E38" s="56" t="s">
        <v>1856</v>
      </c>
      <c r="F38" s="53" t="s">
        <v>1986</v>
      </c>
      <c r="G38" s="53"/>
      <c r="H38" s="52" t="s">
        <v>243</v>
      </c>
      <c r="I38" s="52">
        <v>0</v>
      </c>
      <c r="J38" s="52">
        <v>751000000</v>
      </c>
      <c r="K38" s="53" t="s">
        <v>2290</v>
      </c>
      <c r="L38" s="52" t="s">
        <v>2303</v>
      </c>
      <c r="M38" s="53" t="s">
        <v>2290</v>
      </c>
      <c r="N38" s="52" t="s">
        <v>241</v>
      </c>
      <c r="O38" s="52" t="s">
        <v>1685</v>
      </c>
      <c r="P38" s="53" t="s">
        <v>344</v>
      </c>
      <c r="Q38" s="52">
        <v>796</v>
      </c>
      <c r="R38" s="52" t="s">
        <v>1818</v>
      </c>
      <c r="S38" s="54">
        <v>1</v>
      </c>
      <c r="T38" s="54">
        <f t="shared" si="5"/>
        <v>522557.89473684208</v>
      </c>
      <c r="U38" s="54">
        <f t="shared" si="4"/>
        <v>531889.28571428568</v>
      </c>
      <c r="V38" s="54">
        <v>595716</v>
      </c>
      <c r="W38" s="52"/>
      <c r="X38" s="52">
        <v>2012</v>
      </c>
      <c r="Y38" s="52"/>
      <c r="Z38" s="171"/>
    </row>
    <row r="39" spans="1:26" s="55" customFormat="1" ht="114.75">
      <c r="B39" s="52" t="s">
        <v>847</v>
      </c>
      <c r="C39" s="78" t="s">
        <v>246</v>
      </c>
      <c r="D39" s="58" t="s">
        <v>2061</v>
      </c>
      <c r="E39" s="56" t="s">
        <v>1857</v>
      </c>
      <c r="F39" s="56" t="s">
        <v>1857</v>
      </c>
      <c r="G39" s="56"/>
      <c r="H39" s="52" t="s">
        <v>243</v>
      </c>
      <c r="I39" s="52">
        <v>25</v>
      </c>
      <c r="J39" s="52">
        <v>751000000</v>
      </c>
      <c r="K39" s="53" t="s">
        <v>2290</v>
      </c>
      <c r="L39" s="52" t="s">
        <v>1471</v>
      </c>
      <c r="M39" s="53" t="s">
        <v>2290</v>
      </c>
      <c r="N39" s="52" t="s">
        <v>241</v>
      </c>
      <c r="O39" s="52" t="s">
        <v>1548</v>
      </c>
      <c r="P39" s="53" t="s">
        <v>344</v>
      </c>
      <c r="Q39" s="52">
        <v>796</v>
      </c>
      <c r="R39" s="52" t="s">
        <v>1818</v>
      </c>
      <c r="S39" s="54">
        <v>3</v>
      </c>
      <c r="T39" s="54">
        <v>263158</v>
      </c>
      <c r="U39" s="54">
        <f t="shared" ref="U39:U122" si="6">V39/112*100</f>
        <v>267857.14285714284</v>
      </c>
      <c r="V39" s="54">
        <v>300000</v>
      </c>
      <c r="W39" s="52"/>
      <c r="X39" s="52">
        <v>2012</v>
      </c>
      <c r="Y39" s="52"/>
      <c r="Z39" s="171"/>
    </row>
    <row r="40" spans="1:26" s="55" customFormat="1" ht="114.75">
      <c r="B40" s="52" t="s">
        <v>848</v>
      </c>
      <c r="C40" s="78" t="s">
        <v>246</v>
      </c>
      <c r="D40" s="58" t="s">
        <v>2059</v>
      </c>
      <c r="E40" s="56" t="s">
        <v>91</v>
      </c>
      <c r="F40" s="74" t="s">
        <v>91</v>
      </c>
      <c r="G40" s="74"/>
      <c r="H40" s="52" t="s">
        <v>243</v>
      </c>
      <c r="I40" s="52">
        <v>25</v>
      </c>
      <c r="J40" s="52">
        <v>751000000</v>
      </c>
      <c r="K40" s="53" t="s">
        <v>2290</v>
      </c>
      <c r="L40" s="52" t="s">
        <v>1503</v>
      </c>
      <c r="M40" s="53" t="s">
        <v>2290</v>
      </c>
      <c r="N40" s="52" t="s">
        <v>241</v>
      </c>
      <c r="O40" s="52" t="s">
        <v>1502</v>
      </c>
      <c r="P40" s="53" t="s">
        <v>344</v>
      </c>
      <c r="Q40" s="52">
        <v>796</v>
      </c>
      <c r="R40" s="52" t="s">
        <v>1818</v>
      </c>
      <c r="S40" s="54">
        <v>1</v>
      </c>
      <c r="T40" s="54"/>
      <c r="U40" s="54">
        <f t="shared" si="6"/>
        <v>446428.57142857148</v>
      </c>
      <c r="V40" s="54">
        <v>500000</v>
      </c>
      <c r="W40" s="52"/>
      <c r="X40" s="52">
        <v>2012</v>
      </c>
      <c r="Y40" s="52"/>
      <c r="Z40" s="171"/>
    </row>
    <row r="41" spans="1:26" s="55" customFormat="1" ht="114.75">
      <c r="B41" s="52" t="s">
        <v>849</v>
      </c>
      <c r="C41" s="78" t="s">
        <v>246</v>
      </c>
      <c r="D41" s="58" t="s">
        <v>2060</v>
      </c>
      <c r="E41" s="56" t="s">
        <v>1858</v>
      </c>
      <c r="F41" s="56" t="s">
        <v>1858</v>
      </c>
      <c r="G41" s="74"/>
      <c r="H41" s="52" t="s">
        <v>245</v>
      </c>
      <c r="I41" s="52">
        <v>50</v>
      </c>
      <c r="J41" s="52">
        <v>751000000</v>
      </c>
      <c r="K41" s="53" t="s">
        <v>2290</v>
      </c>
      <c r="L41" s="52" t="s">
        <v>1503</v>
      </c>
      <c r="M41" s="53" t="s">
        <v>2290</v>
      </c>
      <c r="N41" s="52" t="s">
        <v>241</v>
      </c>
      <c r="O41" s="53" t="s">
        <v>2475</v>
      </c>
      <c r="P41" s="53" t="s">
        <v>1538</v>
      </c>
      <c r="Q41" s="52">
        <v>796</v>
      </c>
      <c r="R41" s="52" t="s">
        <v>1818</v>
      </c>
      <c r="S41" s="54">
        <v>1</v>
      </c>
      <c r="T41" s="54">
        <f t="shared" ref="T41:T59" si="7">V41/114*100/S41</f>
        <v>4824561.4035087721</v>
      </c>
      <c r="U41" s="54">
        <f t="shared" si="6"/>
        <v>4910714.2857142854</v>
      </c>
      <c r="V41" s="68">
        <v>5500000</v>
      </c>
      <c r="W41" s="52"/>
      <c r="X41" s="52">
        <v>2012</v>
      </c>
      <c r="Y41" s="52"/>
    </row>
    <row r="42" spans="1:26" s="55" customFormat="1" ht="114.75">
      <c r="B42" s="52" t="s">
        <v>850</v>
      </c>
      <c r="C42" s="78" t="s">
        <v>246</v>
      </c>
      <c r="D42" s="58" t="s">
        <v>2062</v>
      </c>
      <c r="E42" s="56" t="s">
        <v>1859</v>
      </c>
      <c r="F42" s="56" t="s">
        <v>1859</v>
      </c>
      <c r="G42" s="74"/>
      <c r="H42" s="52" t="s">
        <v>242</v>
      </c>
      <c r="I42" s="52">
        <v>50</v>
      </c>
      <c r="J42" s="52">
        <v>751000000</v>
      </c>
      <c r="K42" s="53" t="s">
        <v>2290</v>
      </c>
      <c r="L42" s="52" t="s">
        <v>1503</v>
      </c>
      <c r="M42" s="53" t="s">
        <v>2290</v>
      </c>
      <c r="N42" s="52" t="s">
        <v>241</v>
      </c>
      <c r="O42" s="52" t="s">
        <v>1502</v>
      </c>
      <c r="P42" s="53" t="s">
        <v>1538</v>
      </c>
      <c r="Q42" s="52">
        <v>796</v>
      </c>
      <c r="R42" s="52" t="s">
        <v>1818</v>
      </c>
      <c r="S42" s="54">
        <v>1</v>
      </c>
      <c r="T42" s="54">
        <f t="shared" si="7"/>
        <v>0</v>
      </c>
      <c r="U42" s="54">
        <f t="shared" si="6"/>
        <v>0</v>
      </c>
      <c r="V42" s="68">
        <v>0</v>
      </c>
      <c r="W42" s="52"/>
      <c r="X42" s="52">
        <v>2012</v>
      </c>
      <c r="Y42" s="52">
        <v>11</v>
      </c>
    </row>
    <row r="43" spans="1:26" s="55" customFormat="1" ht="114.75">
      <c r="B43" s="52" t="s">
        <v>2535</v>
      </c>
      <c r="C43" s="78" t="s">
        <v>246</v>
      </c>
      <c r="D43" s="58" t="s">
        <v>2062</v>
      </c>
      <c r="E43" s="56" t="s">
        <v>1859</v>
      </c>
      <c r="F43" s="56" t="s">
        <v>1859</v>
      </c>
      <c r="G43" s="74"/>
      <c r="H43" s="52" t="s">
        <v>242</v>
      </c>
      <c r="I43" s="52">
        <v>50</v>
      </c>
      <c r="J43" s="52">
        <v>751000000</v>
      </c>
      <c r="K43" s="53" t="s">
        <v>2290</v>
      </c>
      <c r="L43" s="52" t="s">
        <v>2303</v>
      </c>
      <c r="M43" s="53" t="s">
        <v>2290</v>
      </c>
      <c r="N43" s="52" t="s">
        <v>241</v>
      </c>
      <c r="O43" s="52" t="s">
        <v>1752</v>
      </c>
      <c r="P43" s="53" t="s">
        <v>1538</v>
      </c>
      <c r="Q43" s="52">
        <v>796</v>
      </c>
      <c r="R43" s="52" t="s">
        <v>1818</v>
      </c>
      <c r="S43" s="54">
        <v>1</v>
      </c>
      <c r="T43" s="54">
        <f t="shared" si="7"/>
        <v>16052631.578947367</v>
      </c>
      <c r="U43" s="54">
        <f t="shared" si="6"/>
        <v>16339285.714285713</v>
      </c>
      <c r="V43" s="68">
        <v>18300000</v>
      </c>
      <c r="W43" s="52"/>
      <c r="X43" s="52">
        <v>2012</v>
      </c>
      <c r="Y43" s="52"/>
    </row>
    <row r="44" spans="1:26" s="55" customFormat="1" ht="159.75" customHeight="1">
      <c r="B44" s="52" t="s">
        <v>851</v>
      </c>
      <c r="C44" s="78" t="s">
        <v>246</v>
      </c>
      <c r="D44" s="56" t="s">
        <v>2329</v>
      </c>
      <c r="E44" s="56" t="s">
        <v>1860</v>
      </c>
      <c r="F44" s="56" t="s">
        <v>1987</v>
      </c>
      <c r="G44" s="56"/>
      <c r="H44" s="52" t="s">
        <v>242</v>
      </c>
      <c r="I44" s="52">
        <v>0</v>
      </c>
      <c r="J44" s="52">
        <v>751000000</v>
      </c>
      <c r="K44" s="53" t="s">
        <v>2290</v>
      </c>
      <c r="L44" s="52" t="s">
        <v>1463</v>
      </c>
      <c r="M44" s="53" t="s">
        <v>2290</v>
      </c>
      <c r="N44" s="52" t="s">
        <v>241</v>
      </c>
      <c r="O44" s="52" t="s">
        <v>1501</v>
      </c>
      <c r="P44" s="53" t="s">
        <v>1538</v>
      </c>
      <c r="Q44" s="52">
        <v>839</v>
      </c>
      <c r="R44" s="52" t="s">
        <v>348</v>
      </c>
      <c r="S44" s="54">
        <v>260</v>
      </c>
      <c r="T44" s="54">
        <f t="shared" si="7"/>
        <v>0</v>
      </c>
      <c r="U44" s="54">
        <f t="shared" si="6"/>
        <v>0</v>
      </c>
      <c r="V44" s="68">
        <v>0</v>
      </c>
      <c r="W44" s="52"/>
      <c r="X44" s="52">
        <v>2012</v>
      </c>
      <c r="Y44" s="52">
        <v>11.14</v>
      </c>
    </row>
    <row r="45" spans="1:26" s="55" customFormat="1" ht="159.75" customHeight="1">
      <c r="B45" s="52" t="s">
        <v>2798</v>
      </c>
      <c r="C45" s="78" t="s">
        <v>246</v>
      </c>
      <c r="D45" s="56" t="s">
        <v>2329</v>
      </c>
      <c r="E45" s="56" t="s">
        <v>1860</v>
      </c>
      <c r="F45" s="56" t="s">
        <v>1987</v>
      </c>
      <c r="G45" s="56"/>
      <c r="H45" s="52" t="s">
        <v>242</v>
      </c>
      <c r="I45" s="52">
        <v>0</v>
      </c>
      <c r="J45" s="52">
        <v>751000000</v>
      </c>
      <c r="K45" s="53" t="s">
        <v>2290</v>
      </c>
      <c r="L45" s="52" t="s">
        <v>2303</v>
      </c>
      <c r="M45" s="53" t="s">
        <v>2290</v>
      </c>
      <c r="N45" s="52" t="s">
        <v>241</v>
      </c>
      <c r="O45" s="53" t="s">
        <v>2384</v>
      </c>
      <c r="P45" s="53" t="s">
        <v>1538</v>
      </c>
      <c r="Q45" s="52">
        <v>839</v>
      </c>
      <c r="R45" s="52" t="s">
        <v>348</v>
      </c>
      <c r="S45" s="54">
        <v>260</v>
      </c>
      <c r="T45" s="54">
        <f t="shared" si="7"/>
        <v>11919.561403508775</v>
      </c>
      <c r="U45" s="54">
        <f t="shared" si="6"/>
        <v>3154426.7857142864</v>
      </c>
      <c r="V45" s="68">
        <v>3532958.0000000005</v>
      </c>
      <c r="W45" s="52"/>
      <c r="X45" s="52">
        <v>2012</v>
      </c>
      <c r="Y45" s="52"/>
    </row>
    <row r="46" spans="1:26" s="55" customFormat="1" ht="114.75">
      <c r="B46" s="52" t="s">
        <v>852</v>
      </c>
      <c r="C46" s="78" t="s">
        <v>246</v>
      </c>
      <c r="D46" s="56" t="s">
        <v>2329</v>
      </c>
      <c r="E46" s="56" t="s">
        <v>1861</v>
      </c>
      <c r="F46" s="56" t="s">
        <v>1988</v>
      </c>
      <c r="G46" s="56"/>
      <c r="H46" s="52" t="s">
        <v>242</v>
      </c>
      <c r="I46" s="52">
        <v>0</v>
      </c>
      <c r="J46" s="52">
        <v>751000000</v>
      </c>
      <c r="K46" s="53" t="s">
        <v>2290</v>
      </c>
      <c r="L46" s="52" t="s">
        <v>1463</v>
      </c>
      <c r="M46" s="53" t="s">
        <v>2290</v>
      </c>
      <c r="N46" s="52" t="s">
        <v>241</v>
      </c>
      <c r="O46" s="52" t="s">
        <v>1501</v>
      </c>
      <c r="P46" s="53" t="s">
        <v>1538</v>
      </c>
      <c r="Q46" s="52">
        <v>839</v>
      </c>
      <c r="R46" s="52" t="s">
        <v>348</v>
      </c>
      <c r="S46" s="54">
        <v>110</v>
      </c>
      <c r="T46" s="54">
        <f t="shared" si="7"/>
        <v>0</v>
      </c>
      <c r="U46" s="54">
        <f t="shared" si="6"/>
        <v>0</v>
      </c>
      <c r="V46" s="68">
        <v>0</v>
      </c>
      <c r="W46" s="52"/>
      <c r="X46" s="52">
        <v>2012</v>
      </c>
      <c r="Y46" s="52">
        <v>11.14</v>
      </c>
    </row>
    <row r="47" spans="1:26" s="55" customFormat="1" ht="114.75">
      <c r="B47" s="52" t="s">
        <v>2799</v>
      </c>
      <c r="C47" s="78" t="s">
        <v>246</v>
      </c>
      <c r="D47" s="56" t="s">
        <v>2329</v>
      </c>
      <c r="E47" s="56" t="s">
        <v>1861</v>
      </c>
      <c r="F47" s="56" t="s">
        <v>1988</v>
      </c>
      <c r="G47" s="56"/>
      <c r="H47" s="52" t="s">
        <v>242</v>
      </c>
      <c r="I47" s="52">
        <v>0</v>
      </c>
      <c r="J47" s="52">
        <v>751000000</v>
      </c>
      <c r="K47" s="53" t="s">
        <v>2290</v>
      </c>
      <c r="L47" s="52" t="s">
        <v>2303</v>
      </c>
      <c r="M47" s="53" t="s">
        <v>2290</v>
      </c>
      <c r="N47" s="52" t="s">
        <v>241</v>
      </c>
      <c r="O47" s="53" t="s">
        <v>2384</v>
      </c>
      <c r="P47" s="53" t="s">
        <v>1538</v>
      </c>
      <c r="Q47" s="52">
        <v>839</v>
      </c>
      <c r="R47" s="52" t="s">
        <v>348</v>
      </c>
      <c r="S47" s="54">
        <v>110</v>
      </c>
      <c r="T47" s="54">
        <f t="shared" si="7"/>
        <v>5157.4561403508778</v>
      </c>
      <c r="U47" s="54">
        <f t="shared" si="6"/>
        <v>577450.89285714296</v>
      </c>
      <c r="V47" s="68">
        <v>646745.00000000012</v>
      </c>
      <c r="W47" s="52"/>
      <c r="X47" s="52">
        <v>2012</v>
      </c>
      <c r="Y47" s="52"/>
    </row>
    <row r="48" spans="1:26" s="55" customFormat="1" ht="114.75">
      <c r="B48" s="52" t="s">
        <v>853</v>
      </c>
      <c r="C48" s="78" t="s">
        <v>246</v>
      </c>
      <c r="D48" s="56" t="s">
        <v>2329</v>
      </c>
      <c r="E48" s="56" t="s">
        <v>1862</v>
      </c>
      <c r="F48" s="56" t="s">
        <v>1989</v>
      </c>
      <c r="G48" s="56"/>
      <c r="H48" s="52" t="s">
        <v>242</v>
      </c>
      <c r="I48" s="52">
        <v>0</v>
      </c>
      <c r="J48" s="52">
        <v>751000000</v>
      </c>
      <c r="K48" s="53" t="s">
        <v>2290</v>
      </c>
      <c r="L48" s="52" t="s">
        <v>1463</v>
      </c>
      <c r="M48" s="53" t="s">
        <v>2290</v>
      </c>
      <c r="N48" s="52" t="s">
        <v>241</v>
      </c>
      <c r="O48" s="52" t="s">
        <v>1501</v>
      </c>
      <c r="P48" s="53" t="s">
        <v>1538</v>
      </c>
      <c r="Q48" s="52">
        <v>839</v>
      </c>
      <c r="R48" s="52" t="s">
        <v>348</v>
      </c>
      <c r="S48" s="54">
        <v>1</v>
      </c>
      <c r="T48" s="54">
        <f t="shared" si="7"/>
        <v>0</v>
      </c>
      <c r="U48" s="54">
        <f t="shared" si="6"/>
        <v>0</v>
      </c>
      <c r="V48" s="68">
        <v>0</v>
      </c>
      <c r="W48" s="52"/>
      <c r="X48" s="52">
        <v>2012</v>
      </c>
      <c r="Y48" s="52">
        <v>11.14</v>
      </c>
    </row>
    <row r="49" spans="2:25" s="55" customFormat="1" ht="114.75">
      <c r="B49" s="52" t="s">
        <v>2800</v>
      </c>
      <c r="C49" s="78" t="s">
        <v>246</v>
      </c>
      <c r="D49" s="56" t="s">
        <v>2329</v>
      </c>
      <c r="E49" s="56" t="s">
        <v>1862</v>
      </c>
      <c r="F49" s="56" t="s">
        <v>1989</v>
      </c>
      <c r="G49" s="56"/>
      <c r="H49" s="52" t="s">
        <v>242</v>
      </c>
      <c r="I49" s="52">
        <v>0</v>
      </c>
      <c r="J49" s="52">
        <v>751000000</v>
      </c>
      <c r="K49" s="53" t="s">
        <v>2290</v>
      </c>
      <c r="L49" s="52" t="s">
        <v>2303</v>
      </c>
      <c r="M49" s="53" t="s">
        <v>2290</v>
      </c>
      <c r="N49" s="52" t="s">
        <v>241</v>
      </c>
      <c r="O49" s="53" t="s">
        <v>2384</v>
      </c>
      <c r="P49" s="53" t="s">
        <v>1538</v>
      </c>
      <c r="Q49" s="52">
        <v>839</v>
      </c>
      <c r="R49" s="52" t="s">
        <v>348</v>
      </c>
      <c r="S49" s="54">
        <v>1</v>
      </c>
      <c r="T49" s="54">
        <f t="shared" si="7"/>
        <v>73287.982456140351</v>
      </c>
      <c r="U49" s="54">
        <f t="shared" si="6"/>
        <v>74596.696428571435</v>
      </c>
      <c r="V49" s="68">
        <v>83548.3</v>
      </c>
      <c r="W49" s="52"/>
      <c r="X49" s="52">
        <v>2012</v>
      </c>
      <c r="Y49" s="52"/>
    </row>
    <row r="50" spans="2:25" s="55" customFormat="1" ht="114.75">
      <c r="B50" s="52" t="s">
        <v>854</v>
      </c>
      <c r="C50" s="78" t="s">
        <v>246</v>
      </c>
      <c r="D50" s="56" t="s">
        <v>2329</v>
      </c>
      <c r="E50" s="56" t="s">
        <v>1863</v>
      </c>
      <c r="F50" s="56" t="s">
        <v>1990</v>
      </c>
      <c r="G50" s="56"/>
      <c r="H50" s="52" t="s">
        <v>242</v>
      </c>
      <c r="I50" s="52">
        <v>0</v>
      </c>
      <c r="J50" s="52">
        <v>751000000</v>
      </c>
      <c r="K50" s="53" t="s">
        <v>2290</v>
      </c>
      <c r="L50" s="52" t="s">
        <v>1463</v>
      </c>
      <c r="M50" s="53" t="s">
        <v>2290</v>
      </c>
      <c r="N50" s="52" t="s">
        <v>241</v>
      </c>
      <c r="O50" s="52" t="s">
        <v>1501</v>
      </c>
      <c r="P50" s="53" t="s">
        <v>1538</v>
      </c>
      <c r="Q50" s="52">
        <v>839</v>
      </c>
      <c r="R50" s="52" t="s">
        <v>348</v>
      </c>
      <c r="S50" s="54">
        <v>6</v>
      </c>
      <c r="T50" s="54">
        <f t="shared" si="7"/>
        <v>0</v>
      </c>
      <c r="U50" s="54">
        <f t="shared" si="6"/>
        <v>0</v>
      </c>
      <c r="V50" s="68">
        <v>0</v>
      </c>
      <c r="W50" s="52"/>
      <c r="X50" s="52">
        <v>2012</v>
      </c>
      <c r="Y50" s="52">
        <v>11.14</v>
      </c>
    </row>
    <row r="51" spans="2:25" s="55" customFormat="1" ht="114.75">
      <c r="B51" s="52" t="s">
        <v>2801</v>
      </c>
      <c r="C51" s="78" t="s">
        <v>246</v>
      </c>
      <c r="D51" s="56" t="s">
        <v>2329</v>
      </c>
      <c r="E51" s="56" t="s">
        <v>1863</v>
      </c>
      <c r="F51" s="56" t="s">
        <v>1990</v>
      </c>
      <c r="G51" s="56"/>
      <c r="H51" s="52" t="s">
        <v>242</v>
      </c>
      <c r="I51" s="52">
        <v>0</v>
      </c>
      <c r="J51" s="52">
        <v>751000000</v>
      </c>
      <c r="K51" s="53" t="s">
        <v>2290</v>
      </c>
      <c r="L51" s="52" t="s">
        <v>2303</v>
      </c>
      <c r="M51" s="53" t="s">
        <v>2290</v>
      </c>
      <c r="N51" s="52" t="s">
        <v>241</v>
      </c>
      <c r="O51" s="53" t="s">
        <v>2384</v>
      </c>
      <c r="P51" s="53" t="s">
        <v>1538</v>
      </c>
      <c r="Q51" s="52">
        <v>839</v>
      </c>
      <c r="R51" s="52" t="s">
        <v>348</v>
      </c>
      <c r="S51" s="54">
        <v>6</v>
      </c>
      <c r="T51" s="54">
        <f t="shared" si="7"/>
        <v>657631.14035087731</v>
      </c>
      <c r="U51" s="54">
        <f t="shared" si="6"/>
        <v>4016247.3214285723</v>
      </c>
      <c r="V51" s="68">
        <v>4498197.0000000009</v>
      </c>
      <c r="W51" s="52"/>
      <c r="X51" s="52">
        <v>2012</v>
      </c>
      <c r="Y51" s="52"/>
    </row>
    <row r="52" spans="2:25" s="55" customFormat="1" ht="114.75">
      <c r="B52" s="52" t="s">
        <v>855</v>
      </c>
      <c r="C52" s="78" t="s">
        <v>246</v>
      </c>
      <c r="D52" s="56" t="s">
        <v>2329</v>
      </c>
      <c r="E52" s="56" t="s">
        <v>1864</v>
      </c>
      <c r="F52" s="56" t="s">
        <v>1991</v>
      </c>
      <c r="G52" s="56"/>
      <c r="H52" s="52" t="s">
        <v>242</v>
      </c>
      <c r="I52" s="52">
        <v>0</v>
      </c>
      <c r="J52" s="52">
        <v>751000000</v>
      </c>
      <c r="K52" s="53" t="s">
        <v>2290</v>
      </c>
      <c r="L52" s="52" t="s">
        <v>1463</v>
      </c>
      <c r="M52" s="53" t="s">
        <v>2290</v>
      </c>
      <c r="N52" s="52" t="s">
        <v>241</v>
      </c>
      <c r="O52" s="52" t="s">
        <v>1501</v>
      </c>
      <c r="P52" s="53" t="s">
        <v>1538</v>
      </c>
      <c r="Q52" s="52">
        <v>839</v>
      </c>
      <c r="R52" s="52" t="s">
        <v>348</v>
      </c>
      <c r="S52" s="54">
        <v>260</v>
      </c>
      <c r="T52" s="54">
        <f>V52/114*100/S52</f>
        <v>0</v>
      </c>
      <c r="U52" s="54">
        <f t="shared" si="6"/>
        <v>0</v>
      </c>
      <c r="V52" s="68">
        <v>0</v>
      </c>
      <c r="W52" s="52"/>
      <c r="X52" s="52">
        <v>2012</v>
      </c>
      <c r="Y52" s="52">
        <v>11.14</v>
      </c>
    </row>
    <row r="53" spans="2:25" s="55" customFormat="1" ht="114.75">
      <c r="B53" s="52" t="s">
        <v>2802</v>
      </c>
      <c r="C53" s="78" t="s">
        <v>246</v>
      </c>
      <c r="D53" s="56" t="s">
        <v>2329</v>
      </c>
      <c r="E53" s="56" t="s">
        <v>1864</v>
      </c>
      <c r="F53" s="56" t="s">
        <v>1991</v>
      </c>
      <c r="G53" s="56"/>
      <c r="H53" s="52" t="s">
        <v>242</v>
      </c>
      <c r="I53" s="52">
        <v>0</v>
      </c>
      <c r="J53" s="52">
        <v>751000000</v>
      </c>
      <c r="K53" s="53" t="s">
        <v>2290</v>
      </c>
      <c r="L53" s="52" t="s">
        <v>2303</v>
      </c>
      <c r="M53" s="53" t="s">
        <v>2290</v>
      </c>
      <c r="N53" s="52" t="s">
        <v>241</v>
      </c>
      <c r="O53" s="53" t="s">
        <v>2384</v>
      </c>
      <c r="P53" s="53" t="s">
        <v>1538</v>
      </c>
      <c r="Q53" s="52">
        <v>839</v>
      </c>
      <c r="R53" s="52" t="s">
        <v>348</v>
      </c>
      <c r="S53" s="54">
        <v>260</v>
      </c>
      <c r="T53" s="54">
        <f>V53/114*100/S53</f>
        <v>11079.122807017544</v>
      </c>
      <c r="U53" s="54">
        <f t="shared" si="6"/>
        <v>2932010.7142857141</v>
      </c>
      <c r="V53" s="68">
        <v>3283852</v>
      </c>
      <c r="W53" s="52"/>
      <c r="X53" s="52">
        <v>2012</v>
      </c>
      <c r="Y53" s="52"/>
    </row>
    <row r="54" spans="2:25" s="55" customFormat="1" ht="114.75">
      <c r="B54" s="52" t="s">
        <v>856</v>
      </c>
      <c r="C54" s="78" t="s">
        <v>246</v>
      </c>
      <c r="D54" s="56" t="s">
        <v>2329</v>
      </c>
      <c r="E54" s="56" t="s">
        <v>1865</v>
      </c>
      <c r="F54" s="56" t="s">
        <v>1991</v>
      </c>
      <c r="G54" s="56"/>
      <c r="H54" s="52" t="s">
        <v>242</v>
      </c>
      <c r="I54" s="52">
        <v>0</v>
      </c>
      <c r="J54" s="52">
        <v>751000000</v>
      </c>
      <c r="K54" s="53" t="s">
        <v>2290</v>
      </c>
      <c r="L54" s="52" t="s">
        <v>1463</v>
      </c>
      <c r="M54" s="53" t="s">
        <v>2290</v>
      </c>
      <c r="N54" s="52" t="s">
        <v>241</v>
      </c>
      <c r="O54" s="52" t="s">
        <v>1501</v>
      </c>
      <c r="P54" s="53" t="s">
        <v>1538</v>
      </c>
      <c r="Q54" s="52">
        <v>839</v>
      </c>
      <c r="R54" s="52" t="s">
        <v>348</v>
      </c>
      <c r="S54" s="54">
        <v>260</v>
      </c>
      <c r="T54" s="54">
        <f t="shared" si="7"/>
        <v>0</v>
      </c>
      <c r="U54" s="54">
        <f t="shared" si="6"/>
        <v>0</v>
      </c>
      <c r="V54" s="68">
        <v>0</v>
      </c>
      <c r="W54" s="52"/>
      <c r="X54" s="52">
        <v>2012</v>
      </c>
      <c r="Y54" s="52">
        <v>11.14</v>
      </c>
    </row>
    <row r="55" spans="2:25" s="55" customFormat="1" ht="114.75">
      <c r="B55" s="52" t="s">
        <v>2803</v>
      </c>
      <c r="C55" s="78" t="s">
        <v>246</v>
      </c>
      <c r="D55" s="56" t="s">
        <v>2329</v>
      </c>
      <c r="E55" s="56" t="s">
        <v>1865</v>
      </c>
      <c r="F55" s="56" t="s">
        <v>1991</v>
      </c>
      <c r="G55" s="56"/>
      <c r="H55" s="52" t="s">
        <v>242</v>
      </c>
      <c r="I55" s="52">
        <v>0</v>
      </c>
      <c r="J55" s="52">
        <v>751000000</v>
      </c>
      <c r="K55" s="53" t="s">
        <v>2290</v>
      </c>
      <c r="L55" s="52" t="s">
        <v>2303</v>
      </c>
      <c r="M55" s="53" t="s">
        <v>2290</v>
      </c>
      <c r="N55" s="52" t="s">
        <v>241</v>
      </c>
      <c r="O55" s="53" t="s">
        <v>2384</v>
      </c>
      <c r="P55" s="53" t="s">
        <v>1538</v>
      </c>
      <c r="Q55" s="52">
        <v>839</v>
      </c>
      <c r="R55" s="52" t="s">
        <v>348</v>
      </c>
      <c r="S55" s="54">
        <v>260</v>
      </c>
      <c r="T55" s="54">
        <f t="shared" si="7"/>
        <v>6876.9298245614045</v>
      </c>
      <c r="U55" s="54">
        <f t="shared" si="6"/>
        <v>1819930.3571428573</v>
      </c>
      <c r="V55" s="68">
        <v>2038322.0000000002</v>
      </c>
      <c r="W55" s="52"/>
      <c r="X55" s="52">
        <v>2012</v>
      </c>
      <c r="Y55" s="52"/>
    </row>
    <row r="56" spans="2:25" s="55" customFormat="1" ht="114.75">
      <c r="B56" s="52" t="s">
        <v>857</v>
      </c>
      <c r="C56" s="78" t="s">
        <v>246</v>
      </c>
      <c r="D56" s="56" t="s">
        <v>2329</v>
      </c>
      <c r="E56" s="56" t="s">
        <v>1866</v>
      </c>
      <c r="F56" s="56" t="s">
        <v>1992</v>
      </c>
      <c r="G56" s="56"/>
      <c r="H56" s="52" t="s">
        <v>242</v>
      </c>
      <c r="I56" s="52">
        <v>0</v>
      </c>
      <c r="J56" s="52">
        <v>751000000</v>
      </c>
      <c r="K56" s="53" t="s">
        <v>2290</v>
      </c>
      <c r="L56" s="52" t="s">
        <v>1463</v>
      </c>
      <c r="M56" s="53" t="s">
        <v>2290</v>
      </c>
      <c r="N56" s="52" t="s">
        <v>241</v>
      </c>
      <c r="O56" s="52" t="s">
        <v>1501</v>
      </c>
      <c r="P56" s="53" t="s">
        <v>1538</v>
      </c>
      <c r="Q56" s="52">
        <v>839</v>
      </c>
      <c r="R56" s="52" t="s">
        <v>348</v>
      </c>
      <c r="S56" s="54">
        <v>2</v>
      </c>
      <c r="T56" s="54">
        <f t="shared" si="7"/>
        <v>0</v>
      </c>
      <c r="U56" s="54">
        <f t="shared" si="6"/>
        <v>0</v>
      </c>
      <c r="V56" s="68">
        <v>0</v>
      </c>
      <c r="W56" s="52"/>
      <c r="X56" s="52">
        <v>2012</v>
      </c>
      <c r="Y56" s="52">
        <v>11.14</v>
      </c>
    </row>
    <row r="57" spans="2:25" s="55" customFormat="1" ht="114.75">
      <c r="B57" s="52" t="s">
        <v>2804</v>
      </c>
      <c r="C57" s="78" t="s">
        <v>246</v>
      </c>
      <c r="D57" s="56" t="s">
        <v>2329</v>
      </c>
      <c r="E57" s="56" t="s">
        <v>1866</v>
      </c>
      <c r="F57" s="56" t="s">
        <v>1992</v>
      </c>
      <c r="G57" s="56"/>
      <c r="H57" s="52" t="s">
        <v>242</v>
      </c>
      <c r="I57" s="52">
        <v>0</v>
      </c>
      <c r="J57" s="52">
        <v>751000000</v>
      </c>
      <c r="K57" s="53" t="s">
        <v>2290</v>
      </c>
      <c r="L57" s="52" t="s">
        <v>2303</v>
      </c>
      <c r="M57" s="53" t="s">
        <v>2290</v>
      </c>
      <c r="N57" s="52" t="s">
        <v>241</v>
      </c>
      <c r="O57" s="53" t="s">
        <v>2384</v>
      </c>
      <c r="P57" s="53" t="s">
        <v>1538</v>
      </c>
      <c r="Q57" s="52">
        <v>839</v>
      </c>
      <c r="R57" s="52" t="s">
        <v>348</v>
      </c>
      <c r="S57" s="54">
        <v>2</v>
      </c>
      <c r="T57" s="54">
        <f t="shared" si="7"/>
        <v>153347.71929824562</v>
      </c>
      <c r="U57" s="54">
        <f t="shared" si="6"/>
        <v>312172.1428571429</v>
      </c>
      <c r="V57" s="68">
        <v>349632.80000000005</v>
      </c>
      <c r="W57" s="52"/>
      <c r="X57" s="52">
        <v>2012</v>
      </c>
      <c r="Y57" s="52"/>
    </row>
    <row r="58" spans="2:25" s="55" customFormat="1" ht="114.75">
      <c r="B58" s="52" t="s">
        <v>858</v>
      </c>
      <c r="C58" s="78" t="s">
        <v>246</v>
      </c>
      <c r="D58" s="56" t="s">
        <v>2329</v>
      </c>
      <c r="E58" s="56" t="s">
        <v>1867</v>
      </c>
      <c r="F58" s="56" t="s">
        <v>1992</v>
      </c>
      <c r="G58" s="56"/>
      <c r="H58" s="52" t="s">
        <v>242</v>
      </c>
      <c r="I58" s="52">
        <v>0</v>
      </c>
      <c r="J58" s="52">
        <v>751000000</v>
      </c>
      <c r="K58" s="53" t="s">
        <v>2290</v>
      </c>
      <c r="L58" s="52" t="s">
        <v>1463</v>
      </c>
      <c r="M58" s="53" t="s">
        <v>2290</v>
      </c>
      <c r="N58" s="52" t="s">
        <v>241</v>
      </c>
      <c r="O58" s="52" t="s">
        <v>1501</v>
      </c>
      <c r="P58" s="53" t="s">
        <v>1538</v>
      </c>
      <c r="Q58" s="52">
        <v>839</v>
      </c>
      <c r="R58" s="52" t="s">
        <v>348</v>
      </c>
      <c r="S58" s="54">
        <v>1</v>
      </c>
      <c r="T58" s="54">
        <f t="shared" si="7"/>
        <v>0</v>
      </c>
      <c r="U58" s="54">
        <f t="shared" si="6"/>
        <v>0</v>
      </c>
      <c r="V58" s="68">
        <v>0</v>
      </c>
      <c r="W58" s="52"/>
      <c r="X58" s="52">
        <v>2012</v>
      </c>
      <c r="Y58" s="52">
        <v>11.14</v>
      </c>
    </row>
    <row r="59" spans="2:25" s="55" customFormat="1" ht="114.75">
      <c r="B59" s="52" t="s">
        <v>2805</v>
      </c>
      <c r="C59" s="78" t="s">
        <v>246</v>
      </c>
      <c r="D59" s="56" t="s">
        <v>2329</v>
      </c>
      <c r="E59" s="56" t="s">
        <v>1867</v>
      </c>
      <c r="F59" s="56" t="s">
        <v>1992</v>
      </c>
      <c r="G59" s="56"/>
      <c r="H59" s="52" t="s">
        <v>242</v>
      </c>
      <c r="I59" s="52">
        <v>0</v>
      </c>
      <c r="J59" s="52">
        <v>751000000</v>
      </c>
      <c r="K59" s="53" t="s">
        <v>2290</v>
      </c>
      <c r="L59" s="52" t="s">
        <v>2303</v>
      </c>
      <c r="M59" s="53" t="s">
        <v>2290</v>
      </c>
      <c r="N59" s="52" t="s">
        <v>241</v>
      </c>
      <c r="O59" s="53" t="s">
        <v>2384</v>
      </c>
      <c r="P59" s="53" t="s">
        <v>1538</v>
      </c>
      <c r="Q59" s="52">
        <v>839</v>
      </c>
      <c r="R59" s="52" t="s">
        <v>348</v>
      </c>
      <c r="S59" s="54">
        <v>1</v>
      </c>
      <c r="T59" s="54">
        <f t="shared" si="7"/>
        <v>596842.63157894742</v>
      </c>
      <c r="U59" s="54">
        <f t="shared" si="6"/>
        <v>607500.5357142858</v>
      </c>
      <c r="V59" s="68">
        <v>680400.60000000009</v>
      </c>
      <c r="W59" s="52"/>
      <c r="X59" s="52">
        <v>2012</v>
      </c>
      <c r="Y59" s="52"/>
    </row>
    <row r="60" spans="2:25" s="55" customFormat="1" ht="114.75">
      <c r="B60" s="52" t="s">
        <v>859</v>
      </c>
      <c r="C60" s="78" t="s">
        <v>246</v>
      </c>
      <c r="D60" s="52" t="s">
        <v>2124</v>
      </c>
      <c r="E60" s="56" t="s">
        <v>2125</v>
      </c>
      <c r="F60" s="53" t="s">
        <v>2126</v>
      </c>
      <c r="G60" s="53"/>
      <c r="H60" s="52" t="s">
        <v>245</v>
      </c>
      <c r="I60" s="52">
        <v>0</v>
      </c>
      <c r="J60" s="52">
        <v>751000000</v>
      </c>
      <c r="K60" s="53" t="s">
        <v>2290</v>
      </c>
      <c r="L60" s="53" t="s">
        <v>2427</v>
      </c>
      <c r="M60" s="53" t="s">
        <v>2290</v>
      </c>
      <c r="N60" s="52" t="s">
        <v>241</v>
      </c>
      <c r="O60" s="53" t="s">
        <v>2480</v>
      </c>
      <c r="P60" s="53" t="s">
        <v>344</v>
      </c>
      <c r="Q60" s="52">
        <v>796</v>
      </c>
      <c r="R60" s="52"/>
      <c r="S60" s="54"/>
      <c r="T60" s="54"/>
      <c r="U60" s="54">
        <v>0</v>
      </c>
      <c r="V60" s="54">
        <v>0</v>
      </c>
      <c r="W60" s="52"/>
      <c r="X60" s="52">
        <v>2012</v>
      </c>
      <c r="Y60" s="52" t="s">
        <v>2502</v>
      </c>
    </row>
    <row r="61" spans="2:25" s="55" customFormat="1" ht="114.75">
      <c r="B61" s="52" t="s">
        <v>2527</v>
      </c>
      <c r="C61" s="78" t="s">
        <v>246</v>
      </c>
      <c r="D61" s="52" t="s">
        <v>2124</v>
      </c>
      <c r="E61" s="56" t="s">
        <v>2125</v>
      </c>
      <c r="F61" s="53" t="s">
        <v>2126</v>
      </c>
      <c r="G61" s="53"/>
      <c r="H61" s="52" t="s">
        <v>245</v>
      </c>
      <c r="I61" s="52">
        <v>0</v>
      </c>
      <c r="J61" s="52">
        <v>751000000</v>
      </c>
      <c r="K61" s="53" t="s">
        <v>2290</v>
      </c>
      <c r="L61" s="53" t="s">
        <v>2427</v>
      </c>
      <c r="M61" s="53" t="s">
        <v>2290</v>
      </c>
      <c r="N61" s="52" t="s">
        <v>241</v>
      </c>
      <c r="O61" s="53" t="s">
        <v>2480</v>
      </c>
      <c r="P61" s="53" t="s">
        <v>344</v>
      </c>
      <c r="Q61" s="52">
        <v>796</v>
      </c>
      <c r="R61" s="52"/>
      <c r="S61" s="54"/>
      <c r="T61" s="54"/>
      <c r="U61" s="54">
        <f t="shared" ref="U61" si="8">V61/112*100</f>
        <v>0</v>
      </c>
      <c r="V61" s="68">
        <v>0</v>
      </c>
      <c r="W61" s="52"/>
      <c r="X61" s="52">
        <v>2012</v>
      </c>
      <c r="Y61" s="52">
        <v>21</v>
      </c>
    </row>
    <row r="62" spans="2:25" s="55" customFormat="1" ht="114.75">
      <c r="B62" s="52" t="s">
        <v>2536</v>
      </c>
      <c r="C62" s="78" t="s">
        <v>246</v>
      </c>
      <c r="D62" s="52" t="s">
        <v>2124</v>
      </c>
      <c r="E62" s="56" t="s">
        <v>2125</v>
      </c>
      <c r="F62" s="53" t="s">
        <v>2126</v>
      </c>
      <c r="G62" s="53"/>
      <c r="H62" s="52" t="s">
        <v>245</v>
      </c>
      <c r="I62" s="52">
        <v>0</v>
      </c>
      <c r="J62" s="52">
        <v>751000000</v>
      </c>
      <c r="K62" s="53" t="s">
        <v>2290</v>
      </c>
      <c r="L62" s="53" t="s">
        <v>2427</v>
      </c>
      <c r="M62" s="53" t="s">
        <v>2290</v>
      </c>
      <c r="N62" s="52" t="s">
        <v>241</v>
      </c>
      <c r="O62" s="53" t="s">
        <v>2480</v>
      </c>
      <c r="P62" s="53" t="s">
        <v>344</v>
      </c>
      <c r="Q62" s="52">
        <v>796</v>
      </c>
      <c r="R62" s="52"/>
      <c r="S62" s="54"/>
      <c r="T62" s="54"/>
      <c r="U62" s="54">
        <v>0</v>
      </c>
      <c r="V62" s="54">
        <v>0</v>
      </c>
      <c r="W62" s="52"/>
      <c r="X62" s="52">
        <v>2012</v>
      </c>
      <c r="Y62" s="52">
        <v>21</v>
      </c>
    </row>
    <row r="63" spans="2:25" s="55" customFormat="1" ht="114.75">
      <c r="B63" s="52" t="s">
        <v>2682</v>
      </c>
      <c r="C63" s="78" t="s">
        <v>246</v>
      </c>
      <c r="D63" s="52" t="s">
        <v>2124</v>
      </c>
      <c r="E63" s="56" t="s">
        <v>2125</v>
      </c>
      <c r="F63" s="53" t="s">
        <v>2126</v>
      </c>
      <c r="G63" s="53"/>
      <c r="H63" s="52" t="s">
        <v>245</v>
      </c>
      <c r="I63" s="52">
        <v>0</v>
      </c>
      <c r="J63" s="52">
        <v>751000000</v>
      </c>
      <c r="K63" s="53" t="s">
        <v>2290</v>
      </c>
      <c r="L63" s="53" t="s">
        <v>2427</v>
      </c>
      <c r="M63" s="53" t="s">
        <v>2290</v>
      </c>
      <c r="N63" s="52" t="s">
        <v>241</v>
      </c>
      <c r="O63" s="53" t="s">
        <v>2480</v>
      </c>
      <c r="P63" s="53" t="s">
        <v>344</v>
      </c>
      <c r="Q63" s="52">
        <v>796</v>
      </c>
      <c r="R63" s="52"/>
      <c r="S63" s="54"/>
      <c r="T63" s="54"/>
      <c r="U63" s="54">
        <f t="shared" ref="U63:U64" si="9">V63/112*100</f>
        <v>2831006.25</v>
      </c>
      <c r="V63" s="68">
        <f>4317727-1147000</f>
        <v>3170727</v>
      </c>
      <c r="W63" s="52"/>
      <c r="X63" s="52">
        <v>2012</v>
      </c>
      <c r="Y63" s="52"/>
    </row>
    <row r="64" spans="2:25" s="55" customFormat="1" ht="114.75">
      <c r="B64" s="52" t="s">
        <v>860</v>
      </c>
      <c r="C64" s="78" t="s">
        <v>246</v>
      </c>
      <c r="D64" s="77">
        <v>44863</v>
      </c>
      <c r="E64" s="56" t="s">
        <v>2387</v>
      </c>
      <c r="F64" s="56" t="s">
        <v>2388</v>
      </c>
      <c r="G64" s="52"/>
      <c r="H64" s="52" t="s">
        <v>243</v>
      </c>
      <c r="I64" s="52">
        <v>0</v>
      </c>
      <c r="J64" s="53">
        <v>751000000</v>
      </c>
      <c r="K64" s="53" t="s">
        <v>2338</v>
      </c>
      <c r="L64" s="52" t="s">
        <v>1548</v>
      </c>
      <c r="M64" s="53" t="s">
        <v>2338</v>
      </c>
      <c r="N64" s="52" t="s">
        <v>241</v>
      </c>
      <c r="O64" s="52" t="s">
        <v>1502</v>
      </c>
      <c r="P64" s="53" t="s">
        <v>2361</v>
      </c>
      <c r="Q64" s="52">
        <v>796</v>
      </c>
      <c r="R64" s="54" t="s">
        <v>1818</v>
      </c>
      <c r="S64" s="54">
        <v>1</v>
      </c>
      <c r="T64" s="54"/>
      <c r="U64" s="54">
        <f t="shared" si="9"/>
        <v>0</v>
      </c>
      <c r="V64" s="68">
        <v>0</v>
      </c>
      <c r="W64" s="52"/>
      <c r="X64" s="52">
        <v>2012</v>
      </c>
      <c r="Y64" s="54" t="s">
        <v>2661</v>
      </c>
    </row>
    <row r="65" spans="2:25" s="55" customFormat="1" ht="114.75">
      <c r="B65" s="52" t="s">
        <v>2683</v>
      </c>
      <c r="C65" s="78" t="s">
        <v>246</v>
      </c>
      <c r="D65" s="77">
        <v>44863</v>
      </c>
      <c r="E65" s="56" t="s">
        <v>2387</v>
      </c>
      <c r="F65" s="56" t="s">
        <v>2388</v>
      </c>
      <c r="G65" s="52"/>
      <c r="H65" s="52" t="s">
        <v>243</v>
      </c>
      <c r="I65" s="52">
        <v>0</v>
      </c>
      <c r="J65" s="53">
        <v>751000000</v>
      </c>
      <c r="K65" s="53" t="s">
        <v>2338</v>
      </c>
      <c r="L65" s="52" t="s">
        <v>1557</v>
      </c>
      <c r="M65" s="53" t="s">
        <v>2338</v>
      </c>
      <c r="N65" s="52" t="s">
        <v>241</v>
      </c>
      <c r="O65" s="52" t="s">
        <v>1759</v>
      </c>
      <c r="P65" s="53" t="s">
        <v>2361</v>
      </c>
      <c r="Q65" s="52">
        <v>796</v>
      </c>
      <c r="R65" s="54" t="s">
        <v>1818</v>
      </c>
      <c r="S65" s="54">
        <v>1</v>
      </c>
      <c r="T65" s="54"/>
      <c r="U65" s="54">
        <v>2232142.8571428573</v>
      </c>
      <c r="V65" s="54">
        <v>2250000</v>
      </c>
      <c r="W65" s="52"/>
      <c r="X65" s="52">
        <v>2012</v>
      </c>
      <c r="Y65" s="52"/>
    </row>
    <row r="66" spans="2:25" s="55" customFormat="1" ht="114.75">
      <c r="B66" s="52" t="s">
        <v>861</v>
      </c>
      <c r="C66" s="78" t="s">
        <v>246</v>
      </c>
      <c r="D66" s="52" t="s">
        <v>1962</v>
      </c>
      <c r="E66" s="56" t="s">
        <v>2339</v>
      </c>
      <c r="F66" s="56" t="s">
        <v>2340</v>
      </c>
      <c r="G66" s="52"/>
      <c r="H66" s="52" t="s">
        <v>242</v>
      </c>
      <c r="I66" s="52">
        <v>0</v>
      </c>
      <c r="J66" s="53">
        <v>751000000</v>
      </c>
      <c r="K66" s="53" t="s">
        <v>2338</v>
      </c>
      <c r="L66" s="52" t="s">
        <v>1548</v>
      </c>
      <c r="M66" s="53" t="s">
        <v>2338</v>
      </c>
      <c r="N66" s="52" t="s">
        <v>241</v>
      </c>
      <c r="O66" s="52" t="s">
        <v>1502</v>
      </c>
      <c r="P66" s="53" t="s">
        <v>2360</v>
      </c>
      <c r="Q66" s="52">
        <v>796</v>
      </c>
      <c r="R66" s="54" t="s">
        <v>1818</v>
      </c>
      <c r="S66" s="54">
        <v>10</v>
      </c>
      <c r="T66" s="54"/>
      <c r="U66" s="54">
        <f t="shared" ref="U66:U86" si="10">V66/112*100</f>
        <v>0</v>
      </c>
      <c r="V66" s="68">
        <v>0</v>
      </c>
      <c r="W66" s="54"/>
      <c r="X66" s="52">
        <v>2012</v>
      </c>
      <c r="Y66" s="52" t="s">
        <v>2661</v>
      </c>
    </row>
    <row r="67" spans="2:25" s="55" customFormat="1" ht="114.75">
      <c r="B67" s="52" t="s">
        <v>2684</v>
      </c>
      <c r="C67" s="78" t="s">
        <v>246</v>
      </c>
      <c r="D67" s="52" t="s">
        <v>1962</v>
      </c>
      <c r="E67" s="56" t="s">
        <v>2339</v>
      </c>
      <c r="F67" s="56" t="s">
        <v>2340</v>
      </c>
      <c r="G67" s="52"/>
      <c r="H67" s="52" t="s">
        <v>242</v>
      </c>
      <c r="I67" s="52">
        <v>0</v>
      </c>
      <c r="J67" s="53">
        <v>751000000</v>
      </c>
      <c r="K67" s="53" t="s">
        <v>2338</v>
      </c>
      <c r="L67" s="52" t="s">
        <v>1557</v>
      </c>
      <c r="M67" s="53" t="s">
        <v>2338</v>
      </c>
      <c r="N67" s="52" t="s">
        <v>241</v>
      </c>
      <c r="O67" s="52" t="s">
        <v>1759</v>
      </c>
      <c r="P67" s="53" t="s">
        <v>2360</v>
      </c>
      <c r="Q67" s="52">
        <v>796</v>
      </c>
      <c r="R67" s="54" t="s">
        <v>1818</v>
      </c>
      <c r="S67" s="54">
        <v>10</v>
      </c>
      <c r="T67" s="54"/>
      <c r="U67" s="54">
        <f t="shared" si="10"/>
        <v>1339285.7142857143</v>
      </c>
      <c r="V67" s="68">
        <v>1500000</v>
      </c>
      <c r="W67" s="54"/>
      <c r="X67" s="52">
        <v>2012</v>
      </c>
      <c r="Y67" s="52"/>
    </row>
    <row r="68" spans="2:25" s="55" customFormat="1" ht="114.75">
      <c r="B68" s="52" t="s">
        <v>862</v>
      </c>
      <c r="C68" s="78" t="s">
        <v>246</v>
      </c>
      <c r="D68" s="52" t="s">
        <v>2124</v>
      </c>
      <c r="E68" s="56" t="s">
        <v>2341</v>
      </c>
      <c r="F68" s="56" t="s">
        <v>2126</v>
      </c>
      <c r="G68" s="52"/>
      <c r="H68" s="52" t="s">
        <v>243</v>
      </c>
      <c r="I68" s="52">
        <v>0</v>
      </c>
      <c r="J68" s="53">
        <v>751000000</v>
      </c>
      <c r="K68" s="53" t="s">
        <v>2338</v>
      </c>
      <c r="L68" s="52" t="s">
        <v>1548</v>
      </c>
      <c r="M68" s="53" t="s">
        <v>2338</v>
      </c>
      <c r="N68" s="52" t="s">
        <v>241</v>
      </c>
      <c r="O68" s="52" t="s">
        <v>1502</v>
      </c>
      <c r="P68" s="53" t="s">
        <v>2361</v>
      </c>
      <c r="Q68" s="52">
        <v>796</v>
      </c>
      <c r="R68" s="54" t="s">
        <v>1818</v>
      </c>
      <c r="S68" s="54">
        <v>5</v>
      </c>
      <c r="T68" s="54"/>
      <c r="U68" s="54">
        <f t="shared" si="10"/>
        <v>0</v>
      </c>
      <c r="V68" s="54">
        <v>0</v>
      </c>
      <c r="W68" s="54"/>
      <c r="X68" s="52">
        <v>2012</v>
      </c>
      <c r="Y68" s="52" t="s">
        <v>2661</v>
      </c>
    </row>
    <row r="69" spans="2:25" s="55" customFormat="1" ht="114.75">
      <c r="B69" s="52" t="s">
        <v>2685</v>
      </c>
      <c r="C69" s="78" t="s">
        <v>246</v>
      </c>
      <c r="D69" s="52" t="s">
        <v>2124</v>
      </c>
      <c r="E69" s="56" t="s">
        <v>2341</v>
      </c>
      <c r="F69" s="56" t="s">
        <v>2126</v>
      </c>
      <c r="G69" s="52"/>
      <c r="H69" s="52" t="s">
        <v>243</v>
      </c>
      <c r="I69" s="52">
        <v>0</v>
      </c>
      <c r="J69" s="53">
        <v>751000000</v>
      </c>
      <c r="K69" s="53" t="s">
        <v>2338</v>
      </c>
      <c r="L69" s="52" t="s">
        <v>1557</v>
      </c>
      <c r="M69" s="53" t="s">
        <v>2338</v>
      </c>
      <c r="N69" s="52" t="s">
        <v>241</v>
      </c>
      <c r="O69" s="52" t="s">
        <v>1759</v>
      </c>
      <c r="P69" s="53" t="s">
        <v>2361</v>
      </c>
      <c r="Q69" s="52">
        <v>796</v>
      </c>
      <c r="R69" s="54" t="s">
        <v>1818</v>
      </c>
      <c r="S69" s="54">
        <v>5</v>
      </c>
      <c r="T69" s="54"/>
      <c r="U69" s="54">
        <f t="shared" si="10"/>
        <v>223214.28571428574</v>
      </c>
      <c r="V69" s="54">
        <v>250000</v>
      </c>
      <c r="W69" s="54"/>
      <c r="X69" s="52">
        <v>2012</v>
      </c>
      <c r="Y69" s="52"/>
    </row>
    <row r="70" spans="2:25" s="55" customFormat="1" ht="114.75">
      <c r="B70" s="52" t="s">
        <v>863</v>
      </c>
      <c r="C70" s="78" t="s">
        <v>246</v>
      </c>
      <c r="D70" s="52" t="s">
        <v>248</v>
      </c>
      <c r="E70" s="56" t="s">
        <v>2363</v>
      </c>
      <c r="F70" s="56" t="s">
        <v>2342</v>
      </c>
      <c r="G70" s="52"/>
      <c r="H70" s="52" t="s">
        <v>243</v>
      </c>
      <c r="I70" s="52">
        <v>0</v>
      </c>
      <c r="J70" s="53">
        <v>751000000</v>
      </c>
      <c r="K70" s="53" t="s">
        <v>2338</v>
      </c>
      <c r="L70" s="52" t="s">
        <v>1548</v>
      </c>
      <c r="M70" s="53" t="s">
        <v>2338</v>
      </c>
      <c r="N70" s="52" t="s">
        <v>241</v>
      </c>
      <c r="O70" s="52" t="s">
        <v>1502</v>
      </c>
      <c r="P70" s="53" t="s">
        <v>2361</v>
      </c>
      <c r="Q70" s="52">
        <v>796</v>
      </c>
      <c r="R70" s="54" t="s">
        <v>1818</v>
      </c>
      <c r="S70" s="54">
        <v>10</v>
      </c>
      <c r="T70" s="54"/>
      <c r="U70" s="54">
        <f t="shared" si="10"/>
        <v>0</v>
      </c>
      <c r="V70" s="54">
        <v>0</v>
      </c>
      <c r="W70" s="54"/>
      <c r="X70" s="52">
        <v>2012</v>
      </c>
      <c r="Y70" s="52" t="s">
        <v>2661</v>
      </c>
    </row>
    <row r="71" spans="2:25" s="55" customFormat="1" ht="114.75">
      <c r="B71" s="52" t="s">
        <v>2686</v>
      </c>
      <c r="C71" s="78" t="s">
        <v>246</v>
      </c>
      <c r="D71" s="52" t="s">
        <v>248</v>
      </c>
      <c r="E71" s="56" t="s">
        <v>2363</v>
      </c>
      <c r="F71" s="56" t="s">
        <v>2342</v>
      </c>
      <c r="G71" s="52"/>
      <c r="H71" s="52" t="s">
        <v>243</v>
      </c>
      <c r="I71" s="52">
        <v>0</v>
      </c>
      <c r="J71" s="53">
        <v>751000000</v>
      </c>
      <c r="K71" s="53" t="s">
        <v>2338</v>
      </c>
      <c r="L71" s="52" t="s">
        <v>1557</v>
      </c>
      <c r="M71" s="53" t="s">
        <v>2338</v>
      </c>
      <c r="N71" s="52" t="s">
        <v>241</v>
      </c>
      <c r="O71" s="52" t="s">
        <v>1759</v>
      </c>
      <c r="P71" s="53" t="s">
        <v>2361</v>
      </c>
      <c r="Q71" s="52">
        <v>796</v>
      </c>
      <c r="R71" s="54" t="s">
        <v>1818</v>
      </c>
      <c r="S71" s="54">
        <v>10</v>
      </c>
      <c r="T71" s="54"/>
      <c r="U71" s="54">
        <f t="shared" si="10"/>
        <v>89285.71428571429</v>
      </c>
      <c r="V71" s="54">
        <v>100000</v>
      </c>
      <c r="W71" s="54"/>
      <c r="X71" s="52">
        <v>2012</v>
      </c>
      <c r="Y71" s="52"/>
    </row>
    <row r="72" spans="2:25" s="55" customFormat="1" ht="198" customHeight="1">
      <c r="B72" s="52" t="s">
        <v>864</v>
      </c>
      <c r="C72" s="78" t="s">
        <v>246</v>
      </c>
      <c r="D72" s="58" t="s">
        <v>1963</v>
      </c>
      <c r="E72" s="56" t="s">
        <v>2343</v>
      </c>
      <c r="F72" s="53" t="s">
        <v>2344</v>
      </c>
      <c r="G72" s="52"/>
      <c r="H72" s="52" t="s">
        <v>243</v>
      </c>
      <c r="I72" s="52">
        <v>50</v>
      </c>
      <c r="J72" s="53">
        <v>751000000</v>
      </c>
      <c r="K72" s="53" t="s">
        <v>2338</v>
      </c>
      <c r="L72" s="52" t="s">
        <v>1548</v>
      </c>
      <c r="M72" s="53" t="s">
        <v>2338</v>
      </c>
      <c r="N72" s="52" t="s">
        <v>241</v>
      </c>
      <c r="O72" s="53" t="s">
        <v>2471</v>
      </c>
      <c r="P72" s="53" t="s">
        <v>2361</v>
      </c>
      <c r="Q72" s="52">
        <v>839</v>
      </c>
      <c r="R72" s="54" t="s">
        <v>348</v>
      </c>
      <c r="S72" s="54">
        <v>2</v>
      </c>
      <c r="T72" s="54"/>
      <c r="U72" s="54">
        <f t="shared" si="10"/>
        <v>0</v>
      </c>
      <c r="V72" s="54">
        <v>0</v>
      </c>
      <c r="W72" s="54"/>
      <c r="X72" s="52">
        <v>2012</v>
      </c>
      <c r="Y72" s="52" t="s">
        <v>2661</v>
      </c>
    </row>
    <row r="73" spans="2:25" s="55" customFormat="1" ht="198" customHeight="1">
      <c r="B73" s="52" t="s">
        <v>2687</v>
      </c>
      <c r="C73" s="78" t="s">
        <v>246</v>
      </c>
      <c r="D73" s="58" t="s">
        <v>1963</v>
      </c>
      <c r="E73" s="56" t="s">
        <v>2343</v>
      </c>
      <c r="F73" s="53" t="s">
        <v>2344</v>
      </c>
      <c r="G73" s="52"/>
      <c r="H73" s="52" t="s">
        <v>243</v>
      </c>
      <c r="I73" s="52">
        <v>50</v>
      </c>
      <c r="J73" s="53">
        <v>751000000</v>
      </c>
      <c r="K73" s="53" t="s">
        <v>2338</v>
      </c>
      <c r="L73" s="52" t="s">
        <v>1557</v>
      </c>
      <c r="M73" s="53" t="s">
        <v>2338</v>
      </c>
      <c r="N73" s="52" t="s">
        <v>241</v>
      </c>
      <c r="O73" s="53" t="s">
        <v>2688</v>
      </c>
      <c r="P73" s="53" t="s">
        <v>2361</v>
      </c>
      <c r="Q73" s="52">
        <v>839</v>
      </c>
      <c r="R73" s="54" t="s">
        <v>348</v>
      </c>
      <c r="S73" s="54">
        <v>2</v>
      </c>
      <c r="T73" s="54"/>
      <c r="U73" s="54">
        <f t="shared" si="10"/>
        <v>321428.57142857142</v>
      </c>
      <c r="V73" s="54">
        <v>360000</v>
      </c>
      <c r="W73" s="54"/>
      <c r="X73" s="52">
        <v>2012</v>
      </c>
      <c r="Y73" s="52"/>
    </row>
    <row r="74" spans="2:25" s="55" customFormat="1" ht="114.75">
      <c r="B74" s="52" t="s">
        <v>865</v>
      </c>
      <c r="C74" s="78" t="s">
        <v>246</v>
      </c>
      <c r="D74" s="58" t="s">
        <v>1963</v>
      </c>
      <c r="E74" s="56" t="s">
        <v>2362</v>
      </c>
      <c r="F74" s="53" t="s">
        <v>2345</v>
      </c>
      <c r="G74" s="52"/>
      <c r="H74" s="52" t="s">
        <v>243</v>
      </c>
      <c r="I74" s="52">
        <v>50</v>
      </c>
      <c r="J74" s="53">
        <v>751000000</v>
      </c>
      <c r="K74" s="53" t="s">
        <v>2338</v>
      </c>
      <c r="L74" s="52" t="s">
        <v>1548</v>
      </c>
      <c r="M74" s="53" t="s">
        <v>2338</v>
      </c>
      <c r="N74" s="52" t="s">
        <v>241</v>
      </c>
      <c r="O74" s="53" t="s">
        <v>2471</v>
      </c>
      <c r="P74" s="53" t="s">
        <v>2361</v>
      </c>
      <c r="Q74" s="52">
        <v>839</v>
      </c>
      <c r="R74" s="54" t="s">
        <v>348</v>
      </c>
      <c r="S74" s="54">
        <v>8</v>
      </c>
      <c r="T74" s="54"/>
      <c r="U74" s="54">
        <f t="shared" si="10"/>
        <v>0</v>
      </c>
      <c r="V74" s="54">
        <v>0</v>
      </c>
      <c r="W74" s="54"/>
      <c r="X74" s="52">
        <v>2012</v>
      </c>
      <c r="Y74" s="52" t="s">
        <v>2661</v>
      </c>
    </row>
    <row r="75" spans="2:25" s="55" customFormat="1" ht="114.75">
      <c r="B75" s="52" t="s">
        <v>2689</v>
      </c>
      <c r="C75" s="78" t="s">
        <v>246</v>
      </c>
      <c r="D75" s="58" t="s">
        <v>1963</v>
      </c>
      <c r="E75" s="56" t="s">
        <v>2362</v>
      </c>
      <c r="F75" s="53" t="s">
        <v>2345</v>
      </c>
      <c r="G75" s="52"/>
      <c r="H75" s="52" t="s">
        <v>243</v>
      </c>
      <c r="I75" s="52">
        <v>50</v>
      </c>
      <c r="J75" s="53">
        <v>751000000</v>
      </c>
      <c r="K75" s="53" t="s">
        <v>2338</v>
      </c>
      <c r="L75" s="52" t="s">
        <v>1557</v>
      </c>
      <c r="M75" s="53" t="s">
        <v>2338</v>
      </c>
      <c r="N75" s="52" t="s">
        <v>241</v>
      </c>
      <c r="O75" s="53" t="s">
        <v>2688</v>
      </c>
      <c r="P75" s="53" t="s">
        <v>2361</v>
      </c>
      <c r="Q75" s="52">
        <v>839</v>
      </c>
      <c r="R75" s="54" t="s">
        <v>348</v>
      </c>
      <c r="S75" s="54">
        <v>8</v>
      </c>
      <c r="T75" s="54"/>
      <c r="U75" s="54">
        <f t="shared" si="10"/>
        <v>267857.14285714284</v>
      </c>
      <c r="V75" s="54">
        <v>300000</v>
      </c>
      <c r="W75" s="54"/>
      <c r="X75" s="52">
        <v>2012</v>
      </c>
      <c r="Y75" s="52"/>
    </row>
    <row r="76" spans="2:25" s="55" customFormat="1" ht="114.75">
      <c r="B76" s="52" t="s">
        <v>866</v>
      </c>
      <c r="C76" s="78" t="s">
        <v>246</v>
      </c>
      <c r="D76" s="52" t="s">
        <v>2057</v>
      </c>
      <c r="E76" s="56" t="s">
        <v>2346</v>
      </c>
      <c r="F76" s="53" t="s">
        <v>92</v>
      </c>
      <c r="G76" s="52"/>
      <c r="H76" s="52" t="s">
        <v>243</v>
      </c>
      <c r="I76" s="52">
        <v>50</v>
      </c>
      <c r="J76" s="53">
        <v>751000000</v>
      </c>
      <c r="K76" s="53" t="s">
        <v>2338</v>
      </c>
      <c r="L76" s="52" t="s">
        <v>1548</v>
      </c>
      <c r="M76" s="53" t="s">
        <v>2338</v>
      </c>
      <c r="N76" s="52" t="s">
        <v>241</v>
      </c>
      <c r="O76" s="53" t="s">
        <v>2471</v>
      </c>
      <c r="P76" s="53" t="s">
        <v>2361</v>
      </c>
      <c r="Q76" s="52">
        <v>796</v>
      </c>
      <c r="R76" s="54" t="s">
        <v>1818</v>
      </c>
      <c r="S76" s="54">
        <v>3</v>
      </c>
      <c r="T76" s="54"/>
      <c r="U76" s="54">
        <f t="shared" si="10"/>
        <v>0</v>
      </c>
      <c r="V76" s="54">
        <v>0</v>
      </c>
      <c r="W76" s="54"/>
      <c r="X76" s="52">
        <v>2012</v>
      </c>
      <c r="Y76" s="52" t="s">
        <v>2661</v>
      </c>
    </row>
    <row r="77" spans="2:25" s="55" customFormat="1" ht="114.75">
      <c r="B77" s="52" t="s">
        <v>2690</v>
      </c>
      <c r="C77" s="78" t="s">
        <v>246</v>
      </c>
      <c r="D77" s="52" t="s">
        <v>2057</v>
      </c>
      <c r="E77" s="56" t="s">
        <v>2346</v>
      </c>
      <c r="F77" s="53" t="s">
        <v>92</v>
      </c>
      <c r="G77" s="52"/>
      <c r="H77" s="52" t="s">
        <v>243</v>
      </c>
      <c r="I77" s="52">
        <v>50</v>
      </c>
      <c r="J77" s="53">
        <v>751000000</v>
      </c>
      <c r="K77" s="53" t="s">
        <v>2338</v>
      </c>
      <c r="L77" s="52" t="s">
        <v>1557</v>
      </c>
      <c r="M77" s="53" t="s">
        <v>2338</v>
      </c>
      <c r="N77" s="52" t="s">
        <v>241</v>
      </c>
      <c r="O77" s="52" t="s">
        <v>1759</v>
      </c>
      <c r="P77" s="53" t="s">
        <v>2361</v>
      </c>
      <c r="Q77" s="52">
        <v>796</v>
      </c>
      <c r="R77" s="54" t="s">
        <v>1818</v>
      </c>
      <c r="S77" s="54">
        <v>3</v>
      </c>
      <c r="T77" s="54"/>
      <c r="U77" s="54">
        <f t="shared" si="10"/>
        <v>66964.28571428571</v>
      </c>
      <c r="V77" s="54">
        <v>75000</v>
      </c>
      <c r="W77" s="54"/>
      <c r="X77" s="52">
        <v>2012</v>
      </c>
      <c r="Y77" s="52"/>
    </row>
    <row r="78" spans="2:25" s="55" customFormat="1" ht="114.75">
      <c r="B78" s="52" t="s">
        <v>867</v>
      </c>
      <c r="C78" s="78" t="s">
        <v>246</v>
      </c>
      <c r="D78" s="77">
        <v>40574</v>
      </c>
      <c r="E78" s="56" t="s">
        <v>2347</v>
      </c>
      <c r="F78" s="53" t="s">
        <v>2348</v>
      </c>
      <c r="G78" s="52"/>
      <c r="H78" s="52" t="s">
        <v>243</v>
      </c>
      <c r="I78" s="52">
        <v>50</v>
      </c>
      <c r="J78" s="53">
        <v>751000000</v>
      </c>
      <c r="K78" s="53" t="s">
        <v>2338</v>
      </c>
      <c r="L78" s="52" t="s">
        <v>1548</v>
      </c>
      <c r="M78" s="53" t="s">
        <v>2338</v>
      </c>
      <c r="N78" s="52" t="s">
        <v>241</v>
      </c>
      <c r="O78" s="52" t="s">
        <v>1502</v>
      </c>
      <c r="P78" s="53" t="s">
        <v>2361</v>
      </c>
      <c r="Q78" s="52">
        <v>796</v>
      </c>
      <c r="R78" s="54" t="s">
        <v>1818</v>
      </c>
      <c r="S78" s="54">
        <v>10</v>
      </c>
      <c r="T78" s="54"/>
      <c r="U78" s="54">
        <f t="shared" si="10"/>
        <v>0</v>
      </c>
      <c r="V78" s="54">
        <v>0</v>
      </c>
      <c r="W78" s="54"/>
      <c r="X78" s="52">
        <v>2012</v>
      </c>
      <c r="Y78" s="52" t="s">
        <v>2661</v>
      </c>
    </row>
    <row r="79" spans="2:25" s="55" customFormat="1" ht="114.75">
      <c r="B79" s="52" t="s">
        <v>2691</v>
      </c>
      <c r="C79" s="78" t="s">
        <v>246</v>
      </c>
      <c r="D79" s="77">
        <v>40574</v>
      </c>
      <c r="E79" s="56" t="s">
        <v>2347</v>
      </c>
      <c r="F79" s="53" t="s">
        <v>2348</v>
      </c>
      <c r="G79" s="52"/>
      <c r="H79" s="52" t="s">
        <v>243</v>
      </c>
      <c r="I79" s="52">
        <v>50</v>
      </c>
      <c r="J79" s="53">
        <v>751000000</v>
      </c>
      <c r="K79" s="53" t="s">
        <v>2338</v>
      </c>
      <c r="L79" s="52" t="s">
        <v>1557</v>
      </c>
      <c r="M79" s="53" t="s">
        <v>2338</v>
      </c>
      <c r="N79" s="52" t="s">
        <v>241</v>
      </c>
      <c r="O79" s="52" t="s">
        <v>1759</v>
      </c>
      <c r="P79" s="53" t="s">
        <v>2361</v>
      </c>
      <c r="Q79" s="52">
        <v>796</v>
      </c>
      <c r="R79" s="54" t="s">
        <v>1818</v>
      </c>
      <c r="S79" s="54">
        <v>10</v>
      </c>
      <c r="T79" s="54"/>
      <c r="U79" s="54">
        <f t="shared" si="10"/>
        <v>89285.71428571429</v>
      </c>
      <c r="V79" s="54">
        <v>100000</v>
      </c>
      <c r="W79" s="54"/>
      <c r="X79" s="52">
        <v>2012</v>
      </c>
      <c r="Y79" s="52"/>
    </row>
    <row r="80" spans="2:25" s="55" customFormat="1" ht="114.75">
      <c r="B80" s="52" t="s">
        <v>868</v>
      </c>
      <c r="C80" s="78" t="s">
        <v>246</v>
      </c>
      <c r="D80" s="77">
        <v>40574</v>
      </c>
      <c r="E80" s="56" t="s">
        <v>2349</v>
      </c>
      <c r="F80" s="53" t="s">
        <v>2350</v>
      </c>
      <c r="G80" s="52"/>
      <c r="H80" s="52" t="s">
        <v>243</v>
      </c>
      <c r="I80" s="52">
        <v>50</v>
      </c>
      <c r="J80" s="53">
        <v>751000000</v>
      </c>
      <c r="K80" s="53" t="s">
        <v>2338</v>
      </c>
      <c r="L80" s="52" t="s">
        <v>1548</v>
      </c>
      <c r="M80" s="53" t="s">
        <v>2338</v>
      </c>
      <c r="N80" s="52" t="s">
        <v>241</v>
      </c>
      <c r="O80" s="52" t="s">
        <v>1502</v>
      </c>
      <c r="P80" s="53" t="s">
        <v>2361</v>
      </c>
      <c r="Q80" s="52">
        <v>796</v>
      </c>
      <c r="R80" s="54" t="s">
        <v>1818</v>
      </c>
      <c r="S80" s="54">
        <v>12</v>
      </c>
      <c r="T80" s="54"/>
      <c r="U80" s="54">
        <f t="shared" si="10"/>
        <v>0</v>
      </c>
      <c r="V80" s="54">
        <v>0</v>
      </c>
      <c r="W80" s="54"/>
      <c r="X80" s="52">
        <v>2012</v>
      </c>
      <c r="Y80" s="52" t="s">
        <v>2661</v>
      </c>
    </row>
    <row r="81" spans="1:254" s="55" customFormat="1" ht="114.75">
      <c r="B81" s="52" t="s">
        <v>2692</v>
      </c>
      <c r="C81" s="78" t="s">
        <v>246</v>
      </c>
      <c r="D81" s="77">
        <v>40574</v>
      </c>
      <c r="E81" s="56" t="s">
        <v>2349</v>
      </c>
      <c r="F81" s="53" t="s">
        <v>2350</v>
      </c>
      <c r="G81" s="52"/>
      <c r="H81" s="52" t="s">
        <v>243</v>
      </c>
      <c r="I81" s="52">
        <v>50</v>
      </c>
      <c r="J81" s="53">
        <v>751000000</v>
      </c>
      <c r="K81" s="53" t="s">
        <v>2338</v>
      </c>
      <c r="L81" s="52" t="s">
        <v>1557</v>
      </c>
      <c r="M81" s="53" t="s">
        <v>2338</v>
      </c>
      <c r="N81" s="52" t="s">
        <v>241</v>
      </c>
      <c r="O81" s="52" t="s">
        <v>1759</v>
      </c>
      <c r="P81" s="53" t="s">
        <v>2361</v>
      </c>
      <c r="Q81" s="52">
        <v>796</v>
      </c>
      <c r="R81" s="54" t="s">
        <v>1818</v>
      </c>
      <c r="S81" s="54">
        <v>12</v>
      </c>
      <c r="T81" s="54"/>
      <c r="U81" s="54">
        <f t="shared" si="10"/>
        <v>35714.285714285717</v>
      </c>
      <c r="V81" s="54">
        <v>40000</v>
      </c>
      <c r="W81" s="54"/>
      <c r="X81" s="52">
        <v>2012</v>
      </c>
      <c r="Y81" s="52"/>
    </row>
    <row r="82" spans="1:254" s="55" customFormat="1" ht="114.75">
      <c r="B82" s="52" t="s">
        <v>2779</v>
      </c>
      <c r="C82" s="78" t="s">
        <v>246</v>
      </c>
      <c r="D82" s="58" t="s">
        <v>1963</v>
      </c>
      <c r="E82" s="56" t="s">
        <v>1545</v>
      </c>
      <c r="F82" s="53" t="s">
        <v>1552</v>
      </c>
      <c r="G82" s="53"/>
      <c r="H82" s="52" t="s">
        <v>243</v>
      </c>
      <c r="I82" s="52">
        <v>50</v>
      </c>
      <c r="J82" s="52">
        <v>230000000</v>
      </c>
      <c r="K82" s="56" t="s">
        <v>118</v>
      </c>
      <c r="L82" s="53" t="s">
        <v>2478</v>
      </c>
      <c r="M82" s="56" t="s">
        <v>118</v>
      </c>
      <c r="N82" s="52" t="s">
        <v>241</v>
      </c>
      <c r="O82" s="53" t="s">
        <v>2479</v>
      </c>
      <c r="P82" s="53" t="s">
        <v>1538</v>
      </c>
      <c r="Q82" s="52">
        <v>796</v>
      </c>
      <c r="R82" s="52" t="s">
        <v>1818</v>
      </c>
      <c r="S82" s="54">
        <v>4</v>
      </c>
      <c r="T82" s="54"/>
      <c r="U82" s="54">
        <f t="shared" si="10"/>
        <v>53571.428571428565</v>
      </c>
      <c r="V82" s="68">
        <v>60000</v>
      </c>
      <c r="W82" s="52"/>
      <c r="X82" s="52">
        <v>2012</v>
      </c>
      <c r="Y82" s="52"/>
    </row>
    <row r="83" spans="1:254" s="55" customFormat="1" ht="114.75">
      <c r="B83" s="52" t="s">
        <v>2780</v>
      </c>
      <c r="C83" s="78" t="s">
        <v>246</v>
      </c>
      <c r="D83" s="58" t="s">
        <v>1963</v>
      </c>
      <c r="E83" s="56" t="s">
        <v>94</v>
      </c>
      <c r="F83" s="53" t="s">
        <v>1550</v>
      </c>
      <c r="G83" s="53"/>
      <c r="H83" s="52" t="s">
        <v>243</v>
      </c>
      <c r="I83" s="52">
        <v>50</v>
      </c>
      <c r="J83" s="52">
        <v>230000000</v>
      </c>
      <c r="K83" s="56" t="s">
        <v>118</v>
      </c>
      <c r="L83" s="53" t="s">
        <v>2478</v>
      </c>
      <c r="M83" s="56" t="s">
        <v>118</v>
      </c>
      <c r="N83" s="52" t="s">
        <v>241</v>
      </c>
      <c r="O83" s="53" t="s">
        <v>2479</v>
      </c>
      <c r="P83" s="53" t="s">
        <v>1538</v>
      </c>
      <c r="Q83" s="52">
        <v>796</v>
      </c>
      <c r="R83" s="52" t="s">
        <v>1818</v>
      </c>
      <c r="S83" s="54">
        <v>5</v>
      </c>
      <c r="T83" s="54">
        <f t="shared" ref="T83:T86" si="11">V83/114*100/S83</f>
        <v>26315.789473684214</v>
      </c>
      <c r="U83" s="54">
        <f t="shared" si="10"/>
        <v>133928.57142857142</v>
      </c>
      <c r="V83" s="68">
        <v>150000</v>
      </c>
      <c r="W83" s="52"/>
      <c r="X83" s="52">
        <v>2012</v>
      </c>
      <c r="Y83" s="52"/>
    </row>
    <row r="84" spans="1:254" s="55" customFormat="1" ht="114.75">
      <c r="B84" s="52" t="s">
        <v>2781</v>
      </c>
      <c r="C84" s="78" t="s">
        <v>246</v>
      </c>
      <c r="D84" s="58" t="s">
        <v>1963</v>
      </c>
      <c r="E84" s="56" t="s">
        <v>1869</v>
      </c>
      <c r="F84" s="53" t="s">
        <v>2782</v>
      </c>
      <c r="G84" s="53"/>
      <c r="H84" s="52" t="s">
        <v>243</v>
      </c>
      <c r="I84" s="52">
        <v>50</v>
      </c>
      <c r="J84" s="52">
        <v>230000000</v>
      </c>
      <c r="K84" s="56" t="s">
        <v>118</v>
      </c>
      <c r="L84" s="53" t="s">
        <v>2478</v>
      </c>
      <c r="M84" s="56" t="s">
        <v>118</v>
      </c>
      <c r="N84" s="52" t="s">
        <v>241</v>
      </c>
      <c r="O84" s="53" t="s">
        <v>2479</v>
      </c>
      <c r="P84" s="53" t="s">
        <v>1538</v>
      </c>
      <c r="Q84" s="52">
        <v>796</v>
      </c>
      <c r="R84" s="52" t="s">
        <v>1818</v>
      </c>
      <c r="S84" s="54">
        <v>2</v>
      </c>
      <c r="T84" s="54">
        <f t="shared" si="11"/>
        <v>21929.824561403511</v>
      </c>
      <c r="U84" s="54">
        <f t="shared" si="10"/>
        <v>44642.857142857145</v>
      </c>
      <c r="V84" s="68">
        <v>50000</v>
      </c>
      <c r="W84" s="52"/>
      <c r="X84" s="52">
        <v>2012</v>
      </c>
      <c r="Y84" s="52"/>
    </row>
    <row r="85" spans="1:254" s="55" customFormat="1" ht="114.75">
      <c r="B85" s="52" t="s">
        <v>2783</v>
      </c>
      <c r="C85" s="78" t="s">
        <v>246</v>
      </c>
      <c r="D85" s="77">
        <v>40939</v>
      </c>
      <c r="E85" s="56" t="s">
        <v>99</v>
      </c>
      <c r="F85" s="53" t="s">
        <v>2784</v>
      </c>
      <c r="G85" s="53"/>
      <c r="H85" s="52" t="s">
        <v>243</v>
      </c>
      <c r="I85" s="52">
        <v>50</v>
      </c>
      <c r="J85" s="52">
        <v>230000000</v>
      </c>
      <c r="K85" s="56" t="s">
        <v>118</v>
      </c>
      <c r="L85" s="53" t="s">
        <v>2478</v>
      </c>
      <c r="M85" s="56" t="s">
        <v>118</v>
      </c>
      <c r="N85" s="52" t="s">
        <v>241</v>
      </c>
      <c r="O85" s="53" t="s">
        <v>2479</v>
      </c>
      <c r="P85" s="53" t="s">
        <v>1538</v>
      </c>
      <c r="Q85" s="52">
        <v>796</v>
      </c>
      <c r="R85" s="52" t="s">
        <v>1818</v>
      </c>
      <c r="S85" s="54">
        <v>12</v>
      </c>
      <c r="T85" s="54">
        <f t="shared" si="11"/>
        <v>29239.766081871348</v>
      </c>
      <c r="U85" s="54">
        <f t="shared" si="10"/>
        <v>357142.85714285716</v>
      </c>
      <c r="V85" s="68">
        <v>400000</v>
      </c>
      <c r="W85" s="52"/>
      <c r="X85" s="52">
        <v>2012</v>
      </c>
      <c r="Y85" s="52"/>
    </row>
    <row r="86" spans="1:254" s="55" customFormat="1" ht="114.75">
      <c r="B86" s="52" t="s">
        <v>2785</v>
      </c>
      <c r="C86" s="78" t="s">
        <v>246</v>
      </c>
      <c r="D86" s="58" t="s">
        <v>1964</v>
      </c>
      <c r="E86" s="56" t="s">
        <v>95</v>
      </c>
      <c r="F86" s="53" t="s">
        <v>2786</v>
      </c>
      <c r="G86" s="53"/>
      <c r="H86" s="52" t="s">
        <v>243</v>
      </c>
      <c r="I86" s="52">
        <v>50</v>
      </c>
      <c r="J86" s="52">
        <v>230000000</v>
      </c>
      <c r="K86" s="56" t="s">
        <v>118</v>
      </c>
      <c r="L86" s="53" t="s">
        <v>2478</v>
      </c>
      <c r="M86" s="56" t="s">
        <v>118</v>
      </c>
      <c r="N86" s="52" t="s">
        <v>241</v>
      </c>
      <c r="O86" s="53" t="s">
        <v>2479</v>
      </c>
      <c r="P86" s="53" t="s">
        <v>1538</v>
      </c>
      <c r="Q86" s="52">
        <v>796</v>
      </c>
      <c r="R86" s="52" t="s">
        <v>1818</v>
      </c>
      <c r="S86" s="54">
        <v>1</v>
      </c>
      <c r="T86" s="54">
        <f t="shared" si="11"/>
        <v>50000</v>
      </c>
      <c r="U86" s="54">
        <f t="shared" si="10"/>
        <v>50892.857142857145</v>
      </c>
      <c r="V86" s="68" t="s">
        <v>2787</v>
      </c>
      <c r="W86" s="52"/>
      <c r="X86" s="52">
        <v>2012</v>
      </c>
      <c r="Y86" s="52"/>
    </row>
    <row r="87" spans="1:254" s="55" customFormat="1" ht="114.75">
      <c r="B87" s="52" t="s">
        <v>869</v>
      </c>
      <c r="C87" s="78" t="s">
        <v>246</v>
      </c>
      <c r="D87" s="58" t="s">
        <v>1964</v>
      </c>
      <c r="E87" s="56" t="s">
        <v>1822</v>
      </c>
      <c r="F87" s="56" t="s">
        <v>1626</v>
      </c>
      <c r="G87" s="56"/>
      <c r="H87" s="52" t="s">
        <v>243</v>
      </c>
      <c r="I87" s="52">
        <v>50</v>
      </c>
      <c r="J87" s="52">
        <v>230000000</v>
      </c>
      <c r="K87" s="56" t="s">
        <v>118</v>
      </c>
      <c r="L87" s="53" t="s">
        <v>2478</v>
      </c>
      <c r="M87" s="56" t="s">
        <v>118</v>
      </c>
      <c r="N87" s="52" t="s">
        <v>241</v>
      </c>
      <c r="O87" s="53" t="s">
        <v>2479</v>
      </c>
      <c r="P87" s="53" t="s">
        <v>1538</v>
      </c>
      <c r="Q87" s="52">
        <v>796</v>
      </c>
      <c r="R87" s="52" t="s">
        <v>1818</v>
      </c>
      <c r="S87" s="54">
        <v>11</v>
      </c>
      <c r="T87" s="54">
        <f t="shared" ref="T87:T90" si="12">V87/114*100/S87</f>
        <v>7974.4816586921861</v>
      </c>
      <c r="U87" s="54">
        <f t="shared" ref="U87:U90" si="13">V87/112*100</f>
        <v>89285.71428571429</v>
      </c>
      <c r="V87" s="68">
        <v>100000</v>
      </c>
      <c r="W87" s="52"/>
      <c r="X87" s="52">
        <v>2012</v>
      </c>
      <c r="Y87" s="52"/>
    </row>
    <row r="88" spans="1:254" s="55" customFormat="1" ht="114.75">
      <c r="B88" s="52" t="s">
        <v>870</v>
      </c>
      <c r="C88" s="78" t="s">
        <v>246</v>
      </c>
      <c r="D88" s="58" t="s">
        <v>1963</v>
      </c>
      <c r="E88" s="56" t="s">
        <v>1870</v>
      </c>
      <c r="F88" s="56" t="s">
        <v>1870</v>
      </c>
      <c r="G88" s="56"/>
      <c r="H88" s="52" t="s">
        <v>243</v>
      </c>
      <c r="I88" s="52">
        <v>50</v>
      </c>
      <c r="J88" s="52">
        <v>230000000</v>
      </c>
      <c r="K88" s="56" t="s">
        <v>118</v>
      </c>
      <c r="L88" s="53" t="s">
        <v>2478</v>
      </c>
      <c r="M88" s="56" t="s">
        <v>118</v>
      </c>
      <c r="N88" s="52" t="s">
        <v>241</v>
      </c>
      <c r="O88" s="53" t="s">
        <v>2479</v>
      </c>
      <c r="P88" s="53" t="s">
        <v>1538</v>
      </c>
      <c r="Q88" s="52">
        <v>796</v>
      </c>
      <c r="R88" s="52" t="s">
        <v>1818</v>
      </c>
      <c r="S88" s="54">
        <v>1</v>
      </c>
      <c r="T88" s="54">
        <f t="shared" si="12"/>
        <v>78947.368421052641</v>
      </c>
      <c r="U88" s="54">
        <f t="shared" si="13"/>
        <v>80357.142857142855</v>
      </c>
      <c r="V88" s="68">
        <v>90000</v>
      </c>
      <c r="W88" s="52"/>
      <c r="X88" s="52">
        <v>2012</v>
      </c>
      <c r="Y88" s="52"/>
    </row>
    <row r="89" spans="1:254" s="55" customFormat="1" ht="114.75">
      <c r="B89" s="52" t="s">
        <v>871</v>
      </c>
      <c r="C89" s="78" t="s">
        <v>246</v>
      </c>
      <c r="D89" s="128" t="s">
        <v>2326</v>
      </c>
      <c r="E89" s="56" t="s">
        <v>89</v>
      </c>
      <c r="F89" s="53" t="s">
        <v>1553</v>
      </c>
      <c r="G89" s="53"/>
      <c r="H89" s="52" t="s">
        <v>243</v>
      </c>
      <c r="I89" s="52">
        <v>0</v>
      </c>
      <c r="J89" s="52">
        <v>230000000</v>
      </c>
      <c r="K89" s="56" t="s">
        <v>118</v>
      </c>
      <c r="L89" s="52" t="s">
        <v>1548</v>
      </c>
      <c r="M89" s="56" t="s">
        <v>118</v>
      </c>
      <c r="N89" s="52" t="s">
        <v>241</v>
      </c>
      <c r="O89" s="52" t="s">
        <v>1502</v>
      </c>
      <c r="P89" s="53" t="s">
        <v>344</v>
      </c>
      <c r="Q89" s="52">
        <v>796</v>
      </c>
      <c r="R89" s="52" t="s">
        <v>1818</v>
      </c>
      <c r="S89" s="54">
        <v>2</v>
      </c>
      <c r="T89" s="54">
        <f t="shared" si="12"/>
        <v>13157.894736842103</v>
      </c>
      <c r="U89" s="54">
        <f t="shared" si="13"/>
        <v>26785.714285714283</v>
      </c>
      <c r="V89" s="68">
        <v>30000</v>
      </c>
      <c r="W89" s="52"/>
      <c r="X89" s="52">
        <v>2012</v>
      </c>
      <c r="Y89" s="52"/>
    </row>
    <row r="90" spans="1:254" s="55" customFormat="1" ht="114.75">
      <c r="B90" s="52" t="s">
        <v>872</v>
      </c>
      <c r="C90" s="78" t="s">
        <v>246</v>
      </c>
      <c r="D90" s="58" t="s">
        <v>249</v>
      </c>
      <c r="E90" s="56" t="s">
        <v>90</v>
      </c>
      <c r="F90" s="53" t="s">
        <v>1554</v>
      </c>
      <c r="G90" s="53"/>
      <c r="H90" s="52" t="s">
        <v>243</v>
      </c>
      <c r="I90" s="52">
        <v>0</v>
      </c>
      <c r="J90" s="52">
        <v>230000000</v>
      </c>
      <c r="K90" s="56" t="s">
        <v>118</v>
      </c>
      <c r="L90" s="53" t="s">
        <v>2384</v>
      </c>
      <c r="M90" s="56" t="s">
        <v>118</v>
      </c>
      <c r="N90" s="52" t="s">
        <v>241</v>
      </c>
      <c r="O90" s="53" t="s">
        <v>2466</v>
      </c>
      <c r="P90" s="53" t="s">
        <v>344</v>
      </c>
      <c r="Q90" s="52">
        <v>796</v>
      </c>
      <c r="R90" s="52" t="s">
        <v>1818</v>
      </c>
      <c r="S90" s="54">
        <v>5</v>
      </c>
      <c r="T90" s="54">
        <f t="shared" si="12"/>
        <v>15789.473684210529</v>
      </c>
      <c r="U90" s="54">
        <f t="shared" si="13"/>
        <v>80357.142857142855</v>
      </c>
      <c r="V90" s="68">
        <v>90000</v>
      </c>
      <c r="W90" s="52"/>
      <c r="X90" s="52">
        <v>2012</v>
      </c>
      <c r="Y90" s="52"/>
    </row>
    <row r="91" spans="1:254" s="55" customFormat="1" ht="51">
      <c r="B91" s="52" t="s">
        <v>873</v>
      </c>
      <c r="C91" s="78" t="s">
        <v>246</v>
      </c>
      <c r="D91" s="58" t="s">
        <v>1965</v>
      </c>
      <c r="E91" s="56" t="s">
        <v>1871</v>
      </c>
      <c r="F91" s="56" t="s">
        <v>1871</v>
      </c>
      <c r="G91" s="56"/>
      <c r="H91" s="52" t="s">
        <v>243</v>
      </c>
      <c r="I91" s="52">
        <v>0</v>
      </c>
      <c r="J91" s="52">
        <v>230000000</v>
      </c>
      <c r="K91" s="56" t="s">
        <v>118</v>
      </c>
      <c r="L91" s="53" t="s">
        <v>1503</v>
      </c>
      <c r="M91" s="56" t="s">
        <v>118</v>
      </c>
      <c r="N91" s="52" t="s">
        <v>241</v>
      </c>
      <c r="O91" s="52" t="s">
        <v>1503</v>
      </c>
      <c r="P91" s="53" t="s">
        <v>1524</v>
      </c>
      <c r="Q91" s="52">
        <v>796</v>
      </c>
      <c r="R91" s="52" t="s">
        <v>1818</v>
      </c>
      <c r="S91" s="54">
        <v>1</v>
      </c>
      <c r="T91" s="54">
        <f>V91/114*100/S91</f>
        <v>43859.649122807023</v>
      </c>
      <c r="U91" s="54">
        <f t="shared" si="6"/>
        <v>44642.857142857145</v>
      </c>
      <c r="V91" s="68">
        <v>50000</v>
      </c>
      <c r="W91" s="52"/>
      <c r="X91" s="52">
        <v>2012</v>
      </c>
      <c r="Y91" s="52"/>
    </row>
    <row r="92" spans="1:254" s="55" customFormat="1" ht="51">
      <c r="B92" s="52" t="s">
        <v>874</v>
      </c>
      <c r="C92" s="78" t="s">
        <v>246</v>
      </c>
      <c r="D92" s="58" t="s">
        <v>1965</v>
      </c>
      <c r="E92" s="56" t="s">
        <v>1854</v>
      </c>
      <c r="F92" s="56" t="s">
        <v>1854</v>
      </c>
      <c r="G92" s="56"/>
      <c r="H92" s="52" t="s">
        <v>243</v>
      </c>
      <c r="I92" s="52">
        <v>0</v>
      </c>
      <c r="J92" s="52">
        <v>230000000</v>
      </c>
      <c r="K92" s="56" t="s">
        <v>118</v>
      </c>
      <c r="L92" s="53" t="s">
        <v>1503</v>
      </c>
      <c r="M92" s="56" t="s">
        <v>118</v>
      </c>
      <c r="N92" s="52" t="s">
        <v>241</v>
      </c>
      <c r="O92" s="52" t="s">
        <v>1503</v>
      </c>
      <c r="P92" s="53" t="s">
        <v>1524</v>
      </c>
      <c r="Q92" s="52">
        <v>796</v>
      </c>
      <c r="R92" s="52" t="s">
        <v>1818</v>
      </c>
      <c r="S92" s="54">
        <v>1</v>
      </c>
      <c r="T92" s="54">
        <f>V92/114*100/S92</f>
        <v>26315.789473684206</v>
      </c>
      <c r="U92" s="54">
        <f t="shared" si="6"/>
        <v>26785.714285714283</v>
      </c>
      <c r="V92" s="54">
        <v>30000</v>
      </c>
      <c r="W92" s="52"/>
      <c r="X92" s="52">
        <v>2012</v>
      </c>
      <c r="Y92" s="52"/>
    </row>
    <row r="93" spans="1:254" s="125" customFormat="1" ht="114.75">
      <c r="A93" s="55"/>
      <c r="B93" s="52" t="s">
        <v>875</v>
      </c>
      <c r="C93" s="78" t="s">
        <v>246</v>
      </c>
      <c r="D93" s="58" t="s">
        <v>1963</v>
      </c>
      <c r="E93" s="56" t="s">
        <v>1545</v>
      </c>
      <c r="F93" s="53" t="s">
        <v>1552</v>
      </c>
      <c r="G93" s="53"/>
      <c r="H93" s="52" t="s">
        <v>243</v>
      </c>
      <c r="I93" s="52">
        <v>85</v>
      </c>
      <c r="J93" s="52">
        <v>630000000</v>
      </c>
      <c r="K93" s="53" t="s">
        <v>97</v>
      </c>
      <c r="L93" s="52" t="s">
        <v>343</v>
      </c>
      <c r="M93" s="53" t="s">
        <v>97</v>
      </c>
      <c r="N93" s="52" t="s">
        <v>241</v>
      </c>
      <c r="O93" s="52" t="s">
        <v>343</v>
      </c>
      <c r="P93" s="53" t="s">
        <v>344</v>
      </c>
      <c r="Q93" s="52">
        <v>796</v>
      </c>
      <c r="R93" s="52" t="s">
        <v>1818</v>
      </c>
      <c r="S93" s="54">
        <v>5</v>
      </c>
      <c r="T93" s="54">
        <f>V93/114*100/S93</f>
        <v>17543.859649122809</v>
      </c>
      <c r="U93" s="54">
        <f t="shared" si="6"/>
        <v>89285.71428571429</v>
      </c>
      <c r="V93" s="54">
        <v>100000</v>
      </c>
      <c r="W93" s="52"/>
      <c r="X93" s="52">
        <v>2012</v>
      </c>
      <c r="Y93" s="52"/>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row>
    <row r="94" spans="1:254" s="125" customFormat="1" ht="114.75">
      <c r="A94" s="55"/>
      <c r="B94" s="52" t="s">
        <v>876</v>
      </c>
      <c r="C94" s="78" t="s">
        <v>246</v>
      </c>
      <c r="D94" s="58" t="s">
        <v>1963</v>
      </c>
      <c r="E94" s="56" t="s">
        <v>94</v>
      </c>
      <c r="F94" s="53" t="s">
        <v>1550</v>
      </c>
      <c r="G94" s="53"/>
      <c r="H94" s="52" t="s">
        <v>243</v>
      </c>
      <c r="I94" s="52">
        <v>85</v>
      </c>
      <c r="J94" s="52">
        <v>630000000</v>
      </c>
      <c r="K94" s="53" t="s">
        <v>97</v>
      </c>
      <c r="L94" s="52" t="s">
        <v>343</v>
      </c>
      <c r="M94" s="53" t="s">
        <v>97</v>
      </c>
      <c r="N94" s="52" t="s">
        <v>241</v>
      </c>
      <c r="O94" s="52" t="s">
        <v>343</v>
      </c>
      <c r="P94" s="53" t="s">
        <v>344</v>
      </c>
      <c r="Q94" s="52">
        <v>797</v>
      </c>
      <c r="R94" s="52" t="s">
        <v>1818</v>
      </c>
      <c r="S94" s="54">
        <v>2</v>
      </c>
      <c r="T94" s="54">
        <f>V94/114*100/S94</f>
        <v>35087.719298245618</v>
      </c>
      <c r="U94" s="54">
        <f t="shared" si="6"/>
        <v>71428.571428571435</v>
      </c>
      <c r="V94" s="54">
        <v>80000</v>
      </c>
      <c r="W94" s="52"/>
      <c r="X94" s="52">
        <v>2012</v>
      </c>
      <c r="Y94" s="52"/>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row>
    <row r="95" spans="1:254" s="55" customFormat="1" ht="51">
      <c r="B95" s="52" t="s">
        <v>877</v>
      </c>
      <c r="C95" s="78" t="s">
        <v>246</v>
      </c>
      <c r="D95" s="58" t="s">
        <v>249</v>
      </c>
      <c r="E95" s="56" t="s">
        <v>1852</v>
      </c>
      <c r="F95" s="56" t="s">
        <v>1852</v>
      </c>
      <c r="G95" s="56"/>
      <c r="H95" s="52" t="s">
        <v>243</v>
      </c>
      <c r="I95" s="52">
        <v>50</v>
      </c>
      <c r="J95" s="52">
        <v>630000000</v>
      </c>
      <c r="K95" s="53" t="s">
        <v>97</v>
      </c>
      <c r="L95" s="52" t="s">
        <v>1471</v>
      </c>
      <c r="M95" s="53" t="s">
        <v>97</v>
      </c>
      <c r="N95" s="52" t="s">
        <v>241</v>
      </c>
      <c r="O95" s="52" t="s">
        <v>1471</v>
      </c>
      <c r="P95" s="53" t="s">
        <v>1524</v>
      </c>
      <c r="Q95" s="52">
        <v>796</v>
      </c>
      <c r="R95" s="52" t="s">
        <v>1818</v>
      </c>
      <c r="S95" s="54">
        <v>1</v>
      </c>
      <c r="T95" s="54">
        <v>0</v>
      </c>
      <c r="U95" s="54">
        <f t="shared" si="6"/>
        <v>133928.57142857142</v>
      </c>
      <c r="V95" s="54">
        <v>150000</v>
      </c>
      <c r="W95" s="52"/>
      <c r="X95" s="52">
        <v>2012</v>
      </c>
      <c r="Y95" s="52"/>
    </row>
    <row r="96" spans="1:254" s="55" customFormat="1" ht="114.75">
      <c r="B96" s="52" t="s">
        <v>878</v>
      </c>
      <c r="C96" s="78" t="s">
        <v>246</v>
      </c>
      <c r="D96" s="58" t="s">
        <v>1963</v>
      </c>
      <c r="E96" s="56" t="s">
        <v>99</v>
      </c>
      <c r="F96" s="56" t="s">
        <v>99</v>
      </c>
      <c r="G96" s="56"/>
      <c r="H96" s="52" t="s">
        <v>243</v>
      </c>
      <c r="I96" s="52">
        <v>85</v>
      </c>
      <c r="J96" s="52">
        <v>630000000</v>
      </c>
      <c r="K96" s="53" t="s">
        <v>97</v>
      </c>
      <c r="L96" s="52" t="s">
        <v>343</v>
      </c>
      <c r="M96" s="53" t="s">
        <v>97</v>
      </c>
      <c r="N96" s="52" t="s">
        <v>241</v>
      </c>
      <c r="O96" s="52" t="s">
        <v>343</v>
      </c>
      <c r="P96" s="53" t="s">
        <v>344</v>
      </c>
      <c r="Q96" s="52">
        <v>796</v>
      </c>
      <c r="R96" s="52" t="s">
        <v>1818</v>
      </c>
      <c r="S96" s="54">
        <v>3</v>
      </c>
      <c r="T96" s="54">
        <v>43859.649122807008</v>
      </c>
      <c r="U96" s="54">
        <f t="shared" si="6"/>
        <v>80357.142857142855</v>
      </c>
      <c r="V96" s="54">
        <v>90000</v>
      </c>
      <c r="W96" s="52"/>
      <c r="X96" s="52">
        <v>2012</v>
      </c>
      <c r="Y96" s="52"/>
    </row>
    <row r="97" spans="2:25" s="55" customFormat="1" ht="51">
      <c r="B97" s="52" t="s">
        <v>879</v>
      </c>
      <c r="C97" s="78" t="s">
        <v>246</v>
      </c>
      <c r="D97" s="58" t="s">
        <v>1963</v>
      </c>
      <c r="E97" s="56" t="s">
        <v>95</v>
      </c>
      <c r="F97" s="56" t="s">
        <v>95</v>
      </c>
      <c r="G97" s="56"/>
      <c r="H97" s="52" t="s">
        <v>243</v>
      </c>
      <c r="I97" s="52">
        <v>50</v>
      </c>
      <c r="J97" s="52">
        <v>630000000</v>
      </c>
      <c r="K97" s="53" t="s">
        <v>97</v>
      </c>
      <c r="L97" s="52" t="s">
        <v>343</v>
      </c>
      <c r="M97" s="53" t="s">
        <v>97</v>
      </c>
      <c r="N97" s="52" t="s">
        <v>241</v>
      </c>
      <c r="O97" s="52" t="s">
        <v>343</v>
      </c>
      <c r="P97" s="53" t="s">
        <v>1524</v>
      </c>
      <c r="Q97" s="52">
        <v>796</v>
      </c>
      <c r="R97" s="52" t="s">
        <v>1818</v>
      </c>
      <c r="S97" s="54">
        <v>1</v>
      </c>
      <c r="T97" s="54">
        <v>43859.649122807008</v>
      </c>
      <c r="U97" s="54">
        <f t="shared" si="6"/>
        <v>35714.285714285717</v>
      </c>
      <c r="V97" s="54">
        <v>40000</v>
      </c>
      <c r="W97" s="52"/>
      <c r="X97" s="52">
        <v>2012</v>
      </c>
      <c r="Y97" s="52"/>
    </row>
    <row r="98" spans="2:25" s="55" customFormat="1" ht="51">
      <c r="B98" s="52" t="s">
        <v>880</v>
      </c>
      <c r="C98" s="78" t="s">
        <v>246</v>
      </c>
      <c r="D98" s="58" t="s">
        <v>1963</v>
      </c>
      <c r="E98" s="56" t="s">
        <v>1822</v>
      </c>
      <c r="F98" s="56" t="s">
        <v>1822</v>
      </c>
      <c r="G98" s="56"/>
      <c r="H98" s="52" t="s">
        <v>243</v>
      </c>
      <c r="I98" s="52">
        <v>50</v>
      </c>
      <c r="J98" s="52">
        <v>630000000</v>
      </c>
      <c r="K98" s="53" t="s">
        <v>97</v>
      </c>
      <c r="L98" s="52" t="s">
        <v>343</v>
      </c>
      <c r="M98" s="53" t="s">
        <v>97</v>
      </c>
      <c r="N98" s="52" t="s">
        <v>241</v>
      </c>
      <c r="O98" s="52" t="s">
        <v>343</v>
      </c>
      <c r="P98" s="53" t="s">
        <v>1524</v>
      </c>
      <c r="Q98" s="52">
        <v>796</v>
      </c>
      <c r="R98" s="52" t="s">
        <v>1818</v>
      </c>
      <c r="S98" s="54">
        <v>6</v>
      </c>
      <c r="T98" s="54">
        <v>43859.649122807015</v>
      </c>
      <c r="U98" s="54">
        <f t="shared" si="6"/>
        <v>80357.142857142855</v>
      </c>
      <c r="V98" s="54">
        <v>90000</v>
      </c>
      <c r="W98" s="52"/>
      <c r="X98" s="52">
        <v>2012</v>
      </c>
      <c r="Y98" s="52"/>
    </row>
    <row r="99" spans="2:25" s="55" customFormat="1" ht="51">
      <c r="B99" s="52" t="s">
        <v>881</v>
      </c>
      <c r="C99" s="78" t="s">
        <v>246</v>
      </c>
      <c r="D99" s="58" t="s">
        <v>1963</v>
      </c>
      <c r="E99" s="56" t="s">
        <v>1853</v>
      </c>
      <c r="F99" s="56" t="s">
        <v>1853</v>
      </c>
      <c r="G99" s="56"/>
      <c r="H99" s="52" t="s">
        <v>243</v>
      </c>
      <c r="I99" s="52">
        <v>50</v>
      </c>
      <c r="J99" s="52">
        <v>630000000</v>
      </c>
      <c r="K99" s="53" t="s">
        <v>97</v>
      </c>
      <c r="L99" s="52" t="s">
        <v>343</v>
      </c>
      <c r="M99" s="53" t="s">
        <v>97</v>
      </c>
      <c r="N99" s="52" t="s">
        <v>241</v>
      </c>
      <c r="O99" s="52" t="s">
        <v>343</v>
      </c>
      <c r="P99" s="53" t="s">
        <v>1524</v>
      </c>
      <c r="Q99" s="52">
        <v>796</v>
      </c>
      <c r="R99" s="52" t="s">
        <v>1818</v>
      </c>
      <c r="S99" s="54">
        <v>10</v>
      </c>
      <c r="T99" s="54">
        <v>43859.649122807015</v>
      </c>
      <c r="U99" s="54">
        <f t="shared" si="6"/>
        <v>44642.857142857145</v>
      </c>
      <c r="V99" s="54">
        <v>50000</v>
      </c>
      <c r="W99" s="52"/>
      <c r="X99" s="52">
        <v>2012</v>
      </c>
      <c r="Y99" s="52"/>
    </row>
    <row r="100" spans="2:25" s="55" customFormat="1" ht="51">
      <c r="B100" s="52" t="s">
        <v>882</v>
      </c>
      <c r="C100" s="78" t="s">
        <v>246</v>
      </c>
      <c r="D100" s="52" t="s">
        <v>2057</v>
      </c>
      <c r="E100" s="56" t="s">
        <v>92</v>
      </c>
      <c r="F100" s="56" t="s">
        <v>92</v>
      </c>
      <c r="G100" s="56"/>
      <c r="H100" s="52" t="s">
        <v>243</v>
      </c>
      <c r="I100" s="52">
        <v>0</v>
      </c>
      <c r="J100" s="52">
        <v>630000000</v>
      </c>
      <c r="K100" s="53" t="s">
        <v>97</v>
      </c>
      <c r="L100" s="52" t="s">
        <v>343</v>
      </c>
      <c r="M100" s="53" t="s">
        <v>97</v>
      </c>
      <c r="N100" s="52" t="s">
        <v>241</v>
      </c>
      <c r="O100" s="52" t="s">
        <v>1471</v>
      </c>
      <c r="P100" s="53" t="s">
        <v>2000</v>
      </c>
      <c r="Q100" s="52">
        <v>839</v>
      </c>
      <c r="R100" s="52" t="s">
        <v>1818</v>
      </c>
      <c r="S100" s="54">
        <v>1</v>
      </c>
      <c r="T100" s="54">
        <f t="shared" ref="T100:T115" si="14">V100/114*100/S100</f>
        <v>61403.508771929817</v>
      </c>
      <c r="U100" s="54">
        <f t="shared" si="6"/>
        <v>62500</v>
      </c>
      <c r="V100" s="54">
        <v>70000</v>
      </c>
      <c r="W100" s="52"/>
      <c r="X100" s="52">
        <v>2012</v>
      </c>
      <c r="Y100" s="52"/>
    </row>
    <row r="101" spans="2:25" s="55" customFormat="1" ht="51">
      <c r="B101" s="52" t="s">
        <v>883</v>
      </c>
      <c r="C101" s="78" t="s">
        <v>246</v>
      </c>
      <c r="D101" s="128" t="s">
        <v>2326</v>
      </c>
      <c r="E101" s="56" t="s">
        <v>89</v>
      </c>
      <c r="F101" s="56" t="s">
        <v>89</v>
      </c>
      <c r="G101" s="56"/>
      <c r="H101" s="52" t="s">
        <v>243</v>
      </c>
      <c r="I101" s="52">
        <v>30</v>
      </c>
      <c r="J101" s="52">
        <v>630000000</v>
      </c>
      <c r="K101" s="53" t="s">
        <v>97</v>
      </c>
      <c r="L101" s="52" t="s">
        <v>343</v>
      </c>
      <c r="M101" s="53" t="s">
        <v>97</v>
      </c>
      <c r="N101" s="52" t="s">
        <v>241</v>
      </c>
      <c r="O101" s="52" t="s">
        <v>343</v>
      </c>
      <c r="P101" s="53" t="s">
        <v>1524</v>
      </c>
      <c r="Q101" s="52">
        <v>839</v>
      </c>
      <c r="R101" s="52" t="s">
        <v>1818</v>
      </c>
      <c r="S101" s="54">
        <v>2</v>
      </c>
      <c r="T101" s="54">
        <f t="shared" si="14"/>
        <v>35087.719298245618</v>
      </c>
      <c r="U101" s="54">
        <f t="shared" si="6"/>
        <v>71428.571428571435</v>
      </c>
      <c r="V101" s="54">
        <v>80000</v>
      </c>
      <c r="W101" s="52"/>
      <c r="X101" s="52">
        <v>2012</v>
      </c>
      <c r="Y101" s="52"/>
    </row>
    <row r="102" spans="2:25" s="55" customFormat="1" ht="114.75">
      <c r="B102" s="52" t="s">
        <v>884</v>
      </c>
      <c r="C102" s="78" t="s">
        <v>246</v>
      </c>
      <c r="D102" s="58" t="s">
        <v>249</v>
      </c>
      <c r="E102" s="56" t="s">
        <v>90</v>
      </c>
      <c r="F102" s="56" t="s">
        <v>90</v>
      </c>
      <c r="G102" s="56"/>
      <c r="H102" s="52" t="s">
        <v>243</v>
      </c>
      <c r="I102" s="52">
        <v>85</v>
      </c>
      <c r="J102" s="52">
        <v>630000000</v>
      </c>
      <c r="K102" s="53" t="s">
        <v>97</v>
      </c>
      <c r="L102" s="52" t="s">
        <v>343</v>
      </c>
      <c r="M102" s="53" t="s">
        <v>97</v>
      </c>
      <c r="N102" s="52" t="s">
        <v>241</v>
      </c>
      <c r="O102" s="52" t="s">
        <v>343</v>
      </c>
      <c r="P102" s="53" t="s">
        <v>344</v>
      </c>
      <c r="Q102" s="52">
        <v>839</v>
      </c>
      <c r="R102" s="52" t="s">
        <v>1818</v>
      </c>
      <c r="S102" s="54">
        <v>3</v>
      </c>
      <c r="T102" s="54">
        <f t="shared" si="14"/>
        <v>35087.719298245611</v>
      </c>
      <c r="U102" s="54">
        <f t="shared" si="6"/>
        <v>107142.85714285713</v>
      </c>
      <c r="V102" s="54">
        <v>120000</v>
      </c>
      <c r="W102" s="52"/>
      <c r="X102" s="52">
        <v>2012</v>
      </c>
      <c r="Y102" s="52"/>
    </row>
    <row r="103" spans="2:25" s="55" customFormat="1" ht="51">
      <c r="B103" s="52" t="s">
        <v>885</v>
      </c>
      <c r="C103" s="78" t="s">
        <v>246</v>
      </c>
      <c r="D103" s="58" t="s">
        <v>1963</v>
      </c>
      <c r="E103" s="56" t="s">
        <v>1872</v>
      </c>
      <c r="F103" s="56" t="s">
        <v>1872</v>
      </c>
      <c r="G103" s="56"/>
      <c r="H103" s="52" t="s">
        <v>243</v>
      </c>
      <c r="I103" s="52">
        <v>70</v>
      </c>
      <c r="J103" s="52">
        <v>630000000</v>
      </c>
      <c r="K103" s="53" t="s">
        <v>97</v>
      </c>
      <c r="L103" s="52" t="s">
        <v>343</v>
      </c>
      <c r="M103" s="53" t="s">
        <v>97</v>
      </c>
      <c r="N103" s="52" t="s">
        <v>241</v>
      </c>
      <c r="O103" s="52" t="s">
        <v>343</v>
      </c>
      <c r="P103" s="53" t="s">
        <v>2000</v>
      </c>
      <c r="Q103" s="52">
        <v>839</v>
      </c>
      <c r="R103" s="52" t="s">
        <v>1818</v>
      </c>
      <c r="S103" s="54">
        <v>3</v>
      </c>
      <c r="T103" s="54">
        <f t="shared" si="14"/>
        <v>17543.859649122805</v>
      </c>
      <c r="U103" s="54">
        <f t="shared" si="6"/>
        <v>53571.428571428565</v>
      </c>
      <c r="V103" s="54">
        <v>60000</v>
      </c>
      <c r="W103" s="52"/>
      <c r="X103" s="52">
        <v>2012</v>
      </c>
      <c r="Y103" s="52"/>
    </row>
    <row r="104" spans="2:25" s="55" customFormat="1" ht="114.75">
      <c r="B104" s="52" t="s">
        <v>886</v>
      </c>
      <c r="C104" s="78" t="s">
        <v>246</v>
      </c>
      <c r="D104" s="58" t="s">
        <v>1963</v>
      </c>
      <c r="E104" s="56" t="s">
        <v>1869</v>
      </c>
      <c r="F104" s="56" t="s">
        <v>1869</v>
      </c>
      <c r="G104" s="56"/>
      <c r="H104" s="52" t="s">
        <v>243</v>
      </c>
      <c r="I104" s="52">
        <v>0</v>
      </c>
      <c r="J104" s="52">
        <v>150000000</v>
      </c>
      <c r="K104" s="53" t="s">
        <v>96</v>
      </c>
      <c r="L104" s="52" t="s">
        <v>1503</v>
      </c>
      <c r="M104" s="56" t="s">
        <v>126</v>
      </c>
      <c r="N104" s="52" t="s">
        <v>241</v>
      </c>
      <c r="O104" s="52" t="s">
        <v>1471</v>
      </c>
      <c r="P104" s="53" t="s">
        <v>344</v>
      </c>
      <c r="Q104" s="52">
        <v>796</v>
      </c>
      <c r="R104" s="52" t="s">
        <v>1818</v>
      </c>
      <c r="S104" s="54">
        <v>2</v>
      </c>
      <c r="T104" s="54">
        <f t="shared" si="14"/>
        <v>0</v>
      </c>
      <c r="U104" s="54">
        <f t="shared" si="6"/>
        <v>0</v>
      </c>
      <c r="V104" s="54">
        <v>0</v>
      </c>
      <c r="W104" s="52"/>
      <c r="X104" s="52">
        <v>2012</v>
      </c>
      <c r="Y104" s="52" t="s">
        <v>2693</v>
      </c>
    </row>
    <row r="105" spans="2:25" s="55" customFormat="1" ht="114.75">
      <c r="B105" s="52" t="s">
        <v>2694</v>
      </c>
      <c r="C105" s="78" t="s">
        <v>246</v>
      </c>
      <c r="D105" s="58" t="s">
        <v>1963</v>
      </c>
      <c r="E105" s="56" t="s">
        <v>1869</v>
      </c>
      <c r="F105" s="56" t="s">
        <v>1869</v>
      </c>
      <c r="G105" s="56"/>
      <c r="H105" s="52" t="s">
        <v>243</v>
      </c>
      <c r="I105" s="52">
        <v>0</v>
      </c>
      <c r="J105" s="52">
        <v>150000000</v>
      </c>
      <c r="K105" s="53" t="s">
        <v>96</v>
      </c>
      <c r="L105" s="52" t="s">
        <v>1548</v>
      </c>
      <c r="M105" s="56" t="s">
        <v>126</v>
      </c>
      <c r="N105" s="52" t="s">
        <v>241</v>
      </c>
      <c r="O105" s="52" t="s">
        <v>1502</v>
      </c>
      <c r="P105" s="53" t="s">
        <v>344</v>
      </c>
      <c r="Q105" s="52">
        <v>796</v>
      </c>
      <c r="R105" s="52" t="s">
        <v>1818</v>
      </c>
      <c r="S105" s="54">
        <v>3</v>
      </c>
      <c r="T105" s="54">
        <f t="shared" si="14"/>
        <v>21491.228070175439</v>
      </c>
      <c r="U105" s="54">
        <f t="shared" si="6"/>
        <v>65625</v>
      </c>
      <c r="V105" s="54">
        <f>50000+23500</f>
        <v>73500</v>
      </c>
      <c r="W105" s="52"/>
      <c r="X105" s="52">
        <v>2012</v>
      </c>
      <c r="Y105" s="52"/>
    </row>
    <row r="106" spans="2:25" s="55" customFormat="1" ht="114.75">
      <c r="B106" s="52" t="s">
        <v>887</v>
      </c>
      <c r="C106" s="78" t="s">
        <v>246</v>
      </c>
      <c r="D106" s="58" t="s">
        <v>249</v>
      </c>
      <c r="E106" s="56" t="s">
        <v>1852</v>
      </c>
      <c r="F106" s="56" t="s">
        <v>1852</v>
      </c>
      <c r="G106" s="56"/>
      <c r="H106" s="52" t="s">
        <v>243</v>
      </c>
      <c r="I106" s="52">
        <v>0</v>
      </c>
      <c r="J106" s="52">
        <v>150000000</v>
      </c>
      <c r="K106" s="53" t="s">
        <v>96</v>
      </c>
      <c r="L106" s="52" t="s">
        <v>1503</v>
      </c>
      <c r="M106" s="56" t="s">
        <v>126</v>
      </c>
      <c r="N106" s="52" t="s">
        <v>241</v>
      </c>
      <c r="O106" s="52" t="s">
        <v>1471</v>
      </c>
      <c r="P106" s="53" t="s">
        <v>344</v>
      </c>
      <c r="Q106" s="52">
        <v>796</v>
      </c>
      <c r="R106" s="52" t="s">
        <v>1818</v>
      </c>
      <c r="S106" s="54">
        <v>2</v>
      </c>
      <c r="T106" s="54">
        <f t="shared" si="14"/>
        <v>0</v>
      </c>
      <c r="U106" s="54">
        <f t="shared" si="6"/>
        <v>0</v>
      </c>
      <c r="V106" s="54">
        <v>0</v>
      </c>
      <c r="W106" s="52"/>
      <c r="X106" s="52">
        <v>2012</v>
      </c>
      <c r="Y106" s="52" t="s">
        <v>2695</v>
      </c>
    </row>
    <row r="107" spans="2:25" s="55" customFormat="1" ht="114.75">
      <c r="B107" s="52" t="s">
        <v>2696</v>
      </c>
      <c r="C107" s="78" t="s">
        <v>246</v>
      </c>
      <c r="D107" s="58" t="s">
        <v>249</v>
      </c>
      <c r="E107" s="56" t="s">
        <v>1852</v>
      </c>
      <c r="F107" s="56" t="s">
        <v>1852</v>
      </c>
      <c r="G107" s="56"/>
      <c r="H107" s="52" t="s">
        <v>243</v>
      </c>
      <c r="I107" s="52">
        <v>0</v>
      </c>
      <c r="J107" s="52">
        <v>150000000</v>
      </c>
      <c r="K107" s="53" t="s">
        <v>96</v>
      </c>
      <c r="L107" s="52" t="s">
        <v>1548</v>
      </c>
      <c r="M107" s="56" t="s">
        <v>126</v>
      </c>
      <c r="N107" s="52" t="s">
        <v>241</v>
      </c>
      <c r="O107" s="52" t="s">
        <v>1502</v>
      </c>
      <c r="P107" s="53" t="s">
        <v>344</v>
      </c>
      <c r="Q107" s="52">
        <v>796</v>
      </c>
      <c r="R107" s="52" t="s">
        <v>1818</v>
      </c>
      <c r="S107" s="54">
        <v>2</v>
      </c>
      <c r="T107" s="54">
        <f t="shared" si="14"/>
        <v>48070.175438596496</v>
      </c>
      <c r="U107" s="54">
        <f t="shared" si="6"/>
        <v>97857.142857142855</v>
      </c>
      <c r="V107" s="54">
        <f>108600+1000</f>
        <v>109600</v>
      </c>
      <c r="W107" s="52"/>
      <c r="X107" s="52">
        <v>2012</v>
      </c>
      <c r="Y107" s="52"/>
    </row>
    <row r="108" spans="2:25" s="55" customFormat="1" ht="114.75">
      <c r="B108" s="52" t="s">
        <v>888</v>
      </c>
      <c r="C108" s="78" t="s">
        <v>246</v>
      </c>
      <c r="D108" s="58" t="s">
        <v>1963</v>
      </c>
      <c r="E108" s="56" t="s">
        <v>99</v>
      </c>
      <c r="F108" s="56" t="s">
        <v>99</v>
      </c>
      <c r="G108" s="56"/>
      <c r="H108" s="52" t="s">
        <v>243</v>
      </c>
      <c r="I108" s="52">
        <v>0</v>
      </c>
      <c r="J108" s="52">
        <v>150000000</v>
      </c>
      <c r="K108" s="53" t="s">
        <v>96</v>
      </c>
      <c r="L108" s="52" t="s">
        <v>1503</v>
      </c>
      <c r="M108" s="56" t="s">
        <v>126</v>
      </c>
      <c r="N108" s="52" t="s">
        <v>241</v>
      </c>
      <c r="O108" s="52" t="s">
        <v>1471</v>
      </c>
      <c r="P108" s="53" t="s">
        <v>344</v>
      </c>
      <c r="Q108" s="52">
        <v>796</v>
      </c>
      <c r="R108" s="52" t="s">
        <v>1818</v>
      </c>
      <c r="S108" s="54">
        <v>8</v>
      </c>
      <c r="T108" s="54">
        <f t="shared" si="14"/>
        <v>0</v>
      </c>
      <c r="U108" s="54">
        <f t="shared" si="6"/>
        <v>0</v>
      </c>
      <c r="V108" s="54">
        <v>0</v>
      </c>
      <c r="W108" s="52"/>
      <c r="X108" s="52">
        <v>2012</v>
      </c>
      <c r="Y108" s="52" t="s">
        <v>2693</v>
      </c>
    </row>
    <row r="109" spans="2:25" s="55" customFormat="1" ht="114.75">
      <c r="B109" s="52" t="s">
        <v>2697</v>
      </c>
      <c r="C109" s="78" t="s">
        <v>246</v>
      </c>
      <c r="D109" s="58" t="s">
        <v>1963</v>
      </c>
      <c r="E109" s="56" t="s">
        <v>99</v>
      </c>
      <c r="F109" s="56" t="s">
        <v>99</v>
      </c>
      <c r="G109" s="56"/>
      <c r="H109" s="52" t="s">
        <v>243</v>
      </c>
      <c r="I109" s="52">
        <v>0</v>
      </c>
      <c r="J109" s="52">
        <v>150000000</v>
      </c>
      <c r="K109" s="53" t="s">
        <v>96</v>
      </c>
      <c r="L109" s="52" t="s">
        <v>1548</v>
      </c>
      <c r="M109" s="56" t="s">
        <v>126</v>
      </c>
      <c r="N109" s="52" t="s">
        <v>241</v>
      </c>
      <c r="O109" s="52" t="s">
        <v>1502</v>
      </c>
      <c r="P109" s="53" t="s">
        <v>344</v>
      </c>
      <c r="Q109" s="52">
        <v>796</v>
      </c>
      <c r="R109" s="52" t="s">
        <v>1818</v>
      </c>
      <c r="S109" s="54">
        <v>6</v>
      </c>
      <c r="T109" s="54">
        <f t="shared" si="14"/>
        <v>25438.596491228072</v>
      </c>
      <c r="U109" s="54">
        <f t="shared" si="6"/>
        <v>155357.14285714287</v>
      </c>
      <c r="V109" s="54">
        <f>197760-23760</f>
        <v>174000</v>
      </c>
      <c r="W109" s="52"/>
      <c r="X109" s="52">
        <v>2012</v>
      </c>
      <c r="Y109" s="52"/>
    </row>
    <row r="110" spans="2:25" s="55" customFormat="1" ht="114.75">
      <c r="B110" s="52" t="s">
        <v>889</v>
      </c>
      <c r="C110" s="78" t="s">
        <v>246</v>
      </c>
      <c r="D110" s="58" t="s">
        <v>1963</v>
      </c>
      <c r="E110" s="56" t="s">
        <v>1822</v>
      </c>
      <c r="F110" s="56" t="s">
        <v>1822</v>
      </c>
      <c r="G110" s="56"/>
      <c r="H110" s="52" t="s">
        <v>243</v>
      </c>
      <c r="I110" s="52">
        <v>0</v>
      </c>
      <c r="J110" s="52">
        <v>150000000</v>
      </c>
      <c r="K110" s="53" t="s">
        <v>96</v>
      </c>
      <c r="L110" s="52" t="s">
        <v>1503</v>
      </c>
      <c r="M110" s="56" t="s">
        <v>126</v>
      </c>
      <c r="N110" s="52" t="s">
        <v>241</v>
      </c>
      <c r="O110" s="52" t="s">
        <v>1471</v>
      </c>
      <c r="P110" s="53" t="s">
        <v>344</v>
      </c>
      <c r="Q110" s="52">
        <v>796</v>
      </c>
      <c r="R110" s="52" t="s">
        <v>1818</v>
      </c>
      <c r="S110" s="54">
        <v>9</v>
      </c>
      <c r="T110" s="54">
        <f t="shared" si="14"/>
        <v>0</v>
      </c>
      <c r="U110" s="54">
        <f t="shared" si="6"/>
        <v>0</v>
      </c>
      <c r="V110" s="54">
        <v>0</v>
      </c>
      <c r="W110" s="52"/>
      <c r="X110" s="52">
        <v>2012</v>
      </c>
      <c r="Y110" s="52" t="s">
        <v>2693</v>
      </c>
    </row>
    <row r="111" spans="2:25" s="55" customFormat="1" ht="114.75">
      <c r="B111" s="52" t="s">
        <v>2698</v>
      </c>
      <c r="C111" s="78" t="s">
        <v>246</v>
      </c>
      <c r="D111" s="58" t="s">
        <v>1963</v>
      </c>
      <c r="E111" s="56" t="s">
        <v>1822</v>
      </c>
      <c r="F111" s="56" t="s">
        <v>1822</v>
      </c>
      <c r="G111" s="56"/>
      <c r="H111" s="52" t="s">
        <v>243</v>
      </c>
      <c r="I111" s="52">
        <v>0</v>
      </c>
      <c r="J111" s="52">
        <v>150000000</v>
      </c>
      <c r="K111" s="53" t="s">
        <v>96</v>
      </c>
      <c r="L111" s="52" t="s">
        <v>1548</v>
      </c>
      <c r="M111" s="56" t="s">
        <v>126</v>
      </c>
      <c r="N111" s="52" t="s">
        <v>241</v>
      </c>
      <c r="O111" s="52" t="s">
        <v>1502</v>
      </c>
      <c r="P111" s="53" t="s">
        <v>344</v>
      </c>
      <c r="Q111" s="52">
        <v>796</v>
      </c>
      <c r="R111" s="52" t="s">
        <v>1818</v>
      </c>
      <c r="S111" s="54">
        <v>4</v>
      </c>
      <c r="T111" s="54">
        <f t="shared" si="14"/>
        <v>5447.3684210526317</v>
      </c>
      <c r="U111" s="54">
        <f t="shared" si="6"/>
        <v>22178.571428571428</v>
      </c>
      <c r="V111" s="54">
        <f>81000-56160</f>
        <v>24840</v>
      </c>
      <c r="W111" s="52"/>
      <c r="X111" s="52">
        <v>2012</v>
      </c>
      <c r="Y111" s="52"/>
    </row>
    <row r="112" spans="2:25" s="55" customFormat="1" ht="114.75">
      <c r="B112" s="52" t="s">
        <v>890</v>
      </c>
      <c r="C112" s="78" t="s">
        <v>246</v>
      </c>
      <c r="D112" s="58" t="s">
        <v>1963</v>
      </c>
      <c r="E112" s="56" t="s">
        <v>1853</v>
      </c>
      <c r="F112" s="56" t="s">
        <v>1853</v>
      </c>
      <c r="G112" s="56"/>
      <c r="H112" s="52" t="s">
        <v>243</v>
      </c>
      <c r="I112" s="52">
        <v>0</v>
      </c>
      <c r="J112" s="52">
        <v>150000000</v>
      </c>
      <c r="K112" s="53" t="s">
        <v>96</v>
      </c>
      <c r="L112" s="52" t="s">
        <v>343</v>
      </c>
      <c r="M112" s="56" t="s">
        <v>126</v>
      </c>
      <c r="N112" s="52" t="s">
        <v>241</v>
      </c>
      <c r="O112" s="52" t="s">
        <v>1471</v>
      </c>
      <c r="P112" s="53" t="s">
        <v>1538</v>
      </c>
      <c r="Q112" s="52">
        <v>839</v>
      </c>
      <c r="R112" s="52" t="s">
        <v>1818</v>
      </c>
      <c r="S112" s="54">
        <v>6</v>
      </c>
      <c r="T112" s="54">
        <f t="shared" si="14"/>
        <v>0</v>
      </c>
      <c r="U112" s="54">
        <f t="shared" si="6"/>
        <v>0</v>
      </c>
      <c r="V112" s="54">
        <v>0</v>
      </c>
      <c r="W112" s="52"/>
      <c r="X112" s="52">
        <v>2012</v>
      </c>
      <c r="Y112" s="52" t="s">
        <v>2693</v>
      </c>
    </row>
    <row r="113" spans="1:254" s="55" customFormat="1" ht="114.75">
      <c r="B113" s="52" t="s">
        <v>2699</v>
      </c>
      <c r="C113" s="78" t="s">
        <v>246</v>
      </c>
      <c r="D113" s="58" t="s">
        <v>1963</v>
      </c>
      <c r="E113" s="56" t="s">
        <v>1853</v>
      </c>
      <c r="F113" s="56" t="s">
        <v>1853</v>
      </c>
      <c r="G113" s="56"/>
      <c r="H113" s="52" t="s">
        <v>243</v>
      </c>
      <c r="I113" s="52">
        <v>0</v>
      </c>
      <c r="J113" s="52">
        <v>150000000</v>
      </c>
      <c r="K113" s="53" t="s">
        <v>96</v>
      </c>
      <c r="L113" s="52" t="s">
        <v>1548</v>
      </c>
      <c r="M113" s="56" t="s">
        <v>126</v>
      </c>
      <c r="N113" s="52" t="s">
        <v>241</v>
      </c>
      <c r="O113" s="52" t="s">
        <v>1502</v>
      </c>
      <c r="P113" s="53" t="s">
        <v>1538</v>
      </c>
      <c r="Q113" s="52">
        <v>839</v>
      </c>
      <c r="R113" s="52" t="s">
        <v>1818</v>
      </c>
      <c r="S113" s="54">
        <v>8</v>
      </c>
      <c r="T113" s="54">
        <f t="shared" si="14"/>
        <v>2171.0526315789471</v>
      </c>
      <c r="U113" s="54">
        <f t="shared" si="6"/>
        <v>17678.571428571428</v>
      </c>
      <c r="V113" s="54">
        <f>30000-10200</f>
        <v>19800</v>
      </c>
      <c r="W113" s="52"/>
      <c r="X113" s="52">
        <v>2012</v>
      </c>
      <c r="Y113" s="52"/>
    </row>
    <row r="114" spans="1:254" s="55" customFormat="1" ht="114.75">
      <c r="B114" s="52" t="s">
        <v>891</v>
      </c>
      <c r="C114" s="78" t="s">
        <v>246</v>
      </c>
      <c r="D114" s="58" t="s">
        <v>1963</v>
      </c>
      <c r="E114" s="56" t="s">
        <v>1870</v>
      </c>
      <c r="F114" s="56" t="s">
        <v>1870</v>
      </c>
      <c r="G114" s="56"/>
      <c r="H114" s="52" t="s">
        <v>243</v>
      </c>
      <c r="I114" s="52">
        <v>0</v>
      </c>
      <c r="J114" s="52">
        <v>150000000</v>
      </c>
      <c r="K114" s="53" t="s">
        <v>96</v>
      </c>
      <c r="L114" s="52" t="s">
        <v>1503</v>
      </c>
      <c r="M114" s="56" t="s">
        <v>126</v>
      </c>
      <c r="N114" s="52" t="s">
        <v>241</v>
      </c>
      <c r="O114" s="52" t="s">
        <v>1471</v>
      </c>
      <c r="P114" s="53" t="s">
        <v>344</v>
      </c>
      <c r="Q114" s="52">
        <v>839</v>
      </c>
      <c r="R114" s="52" t="s">
        <v>1818</v>
      </c>
      <c r="S114" s="54">
        <v>1</v>
      </c>
      <c r="T114" s="54">
        <f t="shared" si="14"/>
        <v>0</v>
      </c>
      <c r="U114" s="54">
        <f t="shared" si="6"/>
        <v>0</v>
      </c>
      <c r="V114" s="54">
        <f>30000-30000</f>
        <v>0</v>
      </c>
      <c r="W114" s="52"/>
      <c r="X114" s="52">
        <v>2012</v>
      </c>
      <c r="Y114" s="52"/>
    </row>
    <row r="115" spans="1:254" s="55" customFormat="1" ht="114.75">
      <c r="B115" s="52" t="s">
        <v>892</v>
      </c>
      <c r="C115" s="78" t="s">
        <v>246</v>
      </c>
      <c r="D115" s="58" t="s">
        <v>1963</v>
      </c>
      <c r="E115" s="56" t="s">
        <v>1545</v>
      </c>
      <c r="F115" s="56" t="s">
        <v>1545</v>
      </c>
      <c r="G115" s="56"/>
      <c r="H115" s="52" t="s">
        <v>243</v>
      </c>
      <c r="I115" s="52">
        <v>65</v>
      </c>
      <c r="J115" s="52">
        <v>550000000</v>
      </c>
      <c r="K115" s="53" t="s">
        <v>101</v>
      </c>
      <c r="L115" s="52" t="s">
        <v>1471</v>
      </c>
      <c r="M115" s="53" t="s">
        <v>101</v>
      </c>
      <c r="N115" s="52" t="s">
        <v>241</v>
      </c>
      <c r="O115" s="53" t="s">
        <v>2164</v>
      </c>
      <c r="P115" s="53" t="s">
        <v>344</v>
      </c>
      <c r="Q115" s="52">
        <v>839</v>
      </c>
      <c r="R115" s="52" t="s">
        <v>1818</v>
      </c>
      <c r="S115" s="54">
        <v>8</v>
      </c>
      <c r="T115" s="54">
        <f t="shared" si="14"/>
        <v>15271.929824561403</v>
      </c>
      <c r="U115" s="54">
        <f t="shared" si="6"/>
        <v>124357.14285714287</v>
      </c>
      <c r="V115" s="54">
        <v>139280</v>
      </c>
      <c r="W115" s="52"/>
      <c r="X115" s="52">
        <v>2012</v>
      </c>
      <c r="Y115" s="52"/>
    </row>
    <row r="116" spans="1:254" s="55" customFormat="1" ht="114.75">
      <c r="B116" s="52" t="s">
        <v>893</v>
      </c>
      <c r="C116" s="78" t="s">
        <v>246</v>
      </c>
      <c r="D116" s="58" t="s">
        <v>1963</v>
      </c>
      <c r="E116" s="56" t="s">
        <v>94</v>
      </c>
      <c r="F116" s="56" t="s">
        <v>2165</v>
      </c>
      <c r="G116" s="56"/>
      <c r="H116" s="52" t="s">
        <v>243</v>
      </c>
      <c r="I116" s="52">
        <v>65</v>
      </c>
      <c r="J116" s="52">
        <v>550000000</v>
      </c>
      <c r="K116" s="53" t="s">
        <v>101</v>
      </c>
      <c r="L116" s="52" t="s">
        <v>1471</v>
      </c>
      <c r="M116" s="53" t="s">
        <v>101</v>
      </c>
      <c r="N116" s="52" t="s">
        <v>241</v>
      </c>
      <c r="O116" s="52" t="s">
        <v>1502</v>
      </c>
      <c r="P116" s="53" t="s">
        <v>344</v>
      </c>
      <c r="Q116" s="52">
        <v>839</v>
      </c>
      <c r="R116" s="52" t="s">
        <v>1818</v>
      </c>
      <c r="S116" s="54">
        <v>5</v>
      </c>
      <c r="T116" s="54">
        <v>0</v>
      </c>
      <c r="U116" s="54">
        <f t="shared" si="6"/>
        <v>121830.35714285713</v>
      </c>
      <c r="V116" s="54">
        <v>136450</v>
      </c>
      <c r="W116" s="52"/>
      <c r="X116" s="52">
        <v>2012</v>
      </c>
      <c r="Y116" s="52"/>
    </row>
    <row r="117" spans="1:254" s="55" customFormat="1" ht="114.75">
      <c r="B117" s="52" t="s">
        <v>894</v>
      </c>
      <c r="C117" s="78" t="s">
        <v>246</v>
      </c>
      <c r="D117" s="58" t="s">
        <v>1963</v>
      </c>
      <c r="E117" s="56" t="s">
        <v>1869</v>
      </c>
      <c r="F117" s="56" t="s">
        <v>2166</v>
      </c>
      <c r="G117" s="56"/>
      <c r="H117" s="52" t="s">
        <v>243</v>
      </c>
      <c r="I117" s="52">
        <v>65</v>
      </c>
      <c r="J117" s="52">
        <v>550000000</v>
      </c>
      <c r="K117" s="53" t="s">
        <v>101</v>
      </c>
      <c r="L117" s="52" t="s">
        <v>1471</v>
      </c>
      <c r="M117" s="53" t="s">
        <v>101</v>
      </c>
      <c r="N117" s="52" t="s">
        <v>241</v>
      </c>
      <c r="O117" s="52" t="s">
        <v>1502</v>
      </c>
      <c r="P117" s="53" t="s">
        <v>344</v>
      </c>
      <c r="Q117" s="52">
        <v>839</v>
      </c>
      <c r="R117" s="52" t="s">
        <v>1818</v>
      </c>
      <c r="S117" s="54">
        <v>3</v>
      </c>
      <c r="T117" s="54">
        <f>V117/114*100/S117</f>
        <v>24122.807017543862</v>
      </c>
      <c r="U117" s="54">
        <f t="shared" si="6"/>
        <v>73660.71428571429</v>
      </c>
      <c r="V117" s="54">
        <v>82500</v>
      </c>
      <c r="W117" s="52"/>
      <c r="X117" s="52">
        <v>2012</v>
      </c>
      <c r="Y117" s="52"/>
    </row>
    <row r="118" spans="1:254" s="55" customFormat="1" ht="114.75">
      <c r="B118" s="52" t="s">
        <v>895</v>
      </c>
      <c r="C118" s="78" t="s">
        <v>246</v>
      </c>
      <c r="D118" s="58" t="s">
        <v>1963</v>
      </c>
      <c r="E118" s="56" t="s">
        <v>99</v>
      </c>
      <c r="F118" s="129" t="s">
        <v>2167</v>
      </c>
      <c r="G118" s="129"/>
      <c r="H118" s="52" t="s">
        <v>243</v>
      </c>
      <c r="I118" s="52">
        <v>60</v>
      </c>
      <c r="J118" s="52">
        <v>550000000</v>
      </c>
      <c r="K118" s="53" t="s">
        <v>101</v>
      </c>
      <c r="L118" s="52" t="s">
        <v>1471</v>
      </c>
      <c r="M118" s="53" t="s">
        <v>101</v>
      </c>
      <c r="N118" s="52" t="s">
        <v>241</v>
      </c>
      <c r="O118" s="52" t="s">
        <v>1502</v>
      </c>
      <c r="P118" s="53" t="s">
        <v>344</v>
      </c>
      <c r="Q118" s="52">
        <v>796</v>
      </c>
      <c r="R118" s="52" t="s">
        <v>1818</v>
      </c>
      <c r="S118" s="54">
        <v>8</v>
      </c>
      <c r="T118" s="54">
        <f>V118/114*100/S118</f>
        <v>25000</v>
      </c>
      <c r="U118" s="54">
        <f t="shared" si="6"/>
        <v>203571.42857142858</v>
      </c>
      <c r="V118" s="54">
        <v>228000</v>
      </c>
      <c r="W118" s="52"/>
      <c r="X118" s="52">
        <v>2012</v>
      </c>
      <c r="Y118" s="52"/>
    </row>
    <row r="119" spans="1:254" s="55" customFormat="1" ht="114.75">
      <c r="B119" s="52" t="s">
        <v>896</v>
      </c>
      <c r="C119" s="78" t="s">
        <v>246</v>
      </c>
      <c r="D119" s="58" t="s">
        <v>1964</v>
      </c>
      <c r="E119" s="56" t="s">
        <v>1822</v>
      </c>
      <c r="F119" s="68" t="s">
        <v>2168</v>
      </c>
      <c r="G119" s="68"/>
      <c r="H119" s="52" t="s">
        <v>243</v>
      </c>
      <c r="I119" s="52">
        <v>85</v>
      </c>
      <c r="J119" s="52">
        <v>550000000</v>
      </c>
      <c r="K119" s="53" t="s">
        <v>101</v>
      </c>
      <c r="L119" s="52" t="s">
        <v>1471</v>
      </c>
      <c r="M119" s="53" t="s">
        <v>101</v>
      </c>
      <c r="N119" s="52" t="s">
        <v>241</v>
      </c>
      <c r="O119" s="52" t="s">
        <v>1502</v>
      </c>
      <c r="P119" s="53" t="s">
        <v>344</v>
      </c>
      <c r="Q119" s="52">
        <v>796</v>
      </c>
      <c r="R119" s="52" t="s">
        <v>1818</v>
      </c>
      <c r="S119" s="54">
        <v>5</v>
      </c>
      <c r="T119" s="54">
        <v>52631.578947368413</v>
      </c>
      <c r="U119" s="54">
        <f t="shared" si="6"/>
        <v>72321.428571428565</v>
      </c>
      <c r="V119" s="54">
        <v>81000</v>
      </c>
      <c r="W119" s="52"/>
      <c r="X119" s="52">
        <v>2012</v>
      </c>
      <c r="Y119" s="52"/>
      <c r="Z119" s="182"/>
    </row>
    <row r="120" spans="1:254" s="55" customFormat="1" ht="114.75">
      <c r="B120" s="52" t="s">
        <v>897</v>
      </c>
      <c r="C120" s="78" t="s">
        <v>246</v>
      </c>
      <c r="D120" s="128" t="s">
        <v>2326</v>
      </c>
      <c r="E120" s="56" t="s">
        <v>89</v>
      </c>
      <c r="F120" s="53" t="s">
        <v>2169</v>
      </c>
      <c r="G120" s="53"/>
      <c r="H120" s="52" t="s">
        <v>243</v>
      </c>
      <c r="I120" s="52">
        <v>0</v>
      </c>
      <c r="J120" s="52">
        <v>550000000</v>
      </c>
      <c r="K120" s="53" t="s">
        <v>101</v>
      </c>
      <c r="L120" s="52" t="s">
        <v>1471</v>
      </c>
      <c r="M120" s="53" t="s">
        <v>101</v>
      </c>
      <c r="N120" s="52" t="s">
        <v>241</v>
      </c>
      <c r="O120" s="52" t="s">
        <v>1471</v>
      </c>
      <c r="P120" s="53" t="s">
        <v>344</v>
      </c>
      <c r="Q120" s="52">
        <v>796</v>
      </c>
      <c r="R120" s="52" t="s">
        <v>1818</v>
      </c>
      <c r="S120" s="54">
        <v>2</v>
      </c>
      <c r="T120" s="54">
        <v>52631.578947368413</v>
      </c>
      <c r="U120" s="54">
        <f t="shared" si="6"/>
        <v>32142.857142857145</v>
      </c>
      <c r="V120" s="54">
        <v>36000</v>
      </c>
      <c r="W120" s="52"/>
      <c r="X120" s="52">
        <v>2012</v>
      </c>
      <c r="Y120" s="52"/>
      <c r="Z120" s="182"/>
    </row>
    <row r="121" spans="1:254" s="55" customFormat="1" ht="114.75">
      <c r="B121" s="52" t="s">
        <v>898</v>
      </c>
      <c r="C121" s="78" t="s">
        <v>246</v>
      </c>
      <c r="D121" s="58" t="s">
        <v>249</v>
      </c>
      <c r="E121" s="56" t="s">
        <v>90</v>
      </c>
      <c r="F121" s="56" t="s">
        <v>2170</v>
      </c>
      <c r="G121" s="56"/>
      <c r="H121" s="52" t="s">
        <v>243</v>
      </c>
      <c r="I121" s="52">
        <v>60</v>
      </c>
      <c r="J121" s="52">
        <v>550000000</v>
      </c>
      <c r="K121" s="53" t="s">
        <v>101</v>
      </c>
      <c r="L121" s="52" t="s">
        <v>1548</v>
      </c>
      <c r="M121" s="53" t="s">
        <v>101</v>
      </c>
      <c r="N121" s="52" t="s">
        <v>241</v>
      </c>
      <c r="O121" s="52" t="s">
        <v>1502</v>
      </c>
      <c r="P121" s="53" t="s">
        <v>344</v>
      </c>
      <c r="Q121" s="52">
        <v>796</v>
      </c>
      <c r="R121" s="52" t="s">
        <v>1818</v>
      </c>
      <c r="S121" s="54">
        <v>1</v>
      </c>
      <c r="T121" s="54">
        <f>V121/114*100/S121</f>
        <v>145175.43859649124</v>
      </c>
      <c r="U121" s="54">
        <f t="shared" si="6"/>
        <v>147767.85714285713</v>
      </c>
      <c r="V121" s="54">
        <v>165500</v>
      </c>
      <c r="W121" s="52"/>
      <c r="X121" s="52">
        <v>2012</v>
      </c>
      <c r="Y121" s="52"/>
      <c r="Z121" s="182"/>
    </row>
    <row r="122" spans="1:254" s="55" customFormat="1" ht="114.75">
      <c r="B122" s="52" t="s">
        <v>899</v>
      </c>
      <c r="C122" s="78" t="s">
        <v>246</v>
      </c>
      <c r="D122" s="58" t="s">
        <v>1963</v>
      </c>
      <c r="E122" s="56" t="s">
        <v>1872</v>
      </c>
      <c r="F122" s="56" t="s">
        <v>1872</v>
      </c>
      <c r="G122" s="56"/>
      <c r="H122" s="52" t="s">
        <v>243</v>
      </c>
      <c r="I122" s="52">
        <v>60</v>
      </c>
      <c r="J122" s="52">
        <v>550000000</v>
      </c>
      <c r="K122" s="53" t="s">
        <v>101</v>
      </c>
      <c r="L122" s="52" t="s">
        <v>1471</v>
      </c>
      <c r="M122" s="53" t="s">
        <v>101</v>
      </c>
      <c r="N122" s="52" t="s">
        <v>241</v>
      </c>
      <c r="O122" s="52" t="s">
        <v>1548</v>
      </c>
      <c r="P122" s="53" t="s">
        <v>344</v>
      </c>
      <c r="Q122" s="52">
        <v>796</v>
      </c>
      <c r="R122" s="52" t="s">
        <v>1818</v>
      </c>
      <c r="S122" s="54">
        <v>3</v>
      </c>
      <c r="T122" s="54">
        <f>V122/114*100/S122</f>
        <v>17543.859649122805</v>
      </c>
      <c r="U122" s="54">
        <f t="shared" si="6"/>
        <v>53571.428571428565</v>
      </c>
      <c r="V122" s="54">
        <v>60000</v>
      </c>
      <c r="W122" s="52"/>
      <c r="X122" s="52">
        <v>2012</v>
      </c>
      <c r="Y122" s="52"/>
      <c r="Z122" s="182"/>
    </row>
    <row r="123" spans="1:254" s="55" customFormat="1" ht="114.75">
      <c r="B123" s="52" t="s">
        <v>900</v>
      </c>
      <c r="C123" s="78" t="s">
        <v>246</v>
      </c>
      <c r="D123" s="58" t="s">
        <v>249</v>
      </c>
      <c r="E123" s="56" t="s">
        <v>1852</v>
      </c>
      <c r="F123" s="56" t="s">
        <v>1852</v>
      </c>
      <c r="G123" s="56"/>
      <c r="H123" s="52" t="s">
        <v>243</v>
      </c>
      <c r="I123" s="52">
        <v>50</v>
      </c>
      <c r="J123" s="52">
        <v>350000000</v>
      </c>
      <c r="K123" s="56" t="s">
        <v>120</v>
      </c>
      <c r="L123" s="52" t="s">
        <v>1462</v>
      </c>
      <c r="M123" s="56" t="s">
        <v>120</v>
      </c>
      <c r="N123" s="52" t="s">
        <v>241</v>
      </c>
      <c r="O123" s="52" t="s">
        <v>1548</v>
      </c>
      <c r="P123" s="53" t="s">
        <v>344</v>
      </c>
      <c r="Q123" s="52">
        <v>796</v>
      </c>
      <c r="R123" s="52" t="s">
        <v>1818</v>
      </c>
      <c r="S123" s="54">
        <v>3</v>
      </c>
      <c r="T123" s="54">
        <f t="shared" ref="T123:T177" si="15">V123/114*100/S123</f>
        <v>40087.719298245611</v>
      </c>
      <c r="U123" s="54">
        <f t="shared" ref="U123:U176" si="16">V123/112*100</f>
        <v>122410.71428571429</v>
      </c>
      <c r="V123" s="54">
        <v>137100</v>
      </c>
      <c r="W123" s="52"/>
      <c r="X123" s="52">
        <v>2012</v>
      </c>
      <c r="Y123" s="52"/>
      <c r="Z123" s="182"/>
    </row>
    <row r="124" spans="1:254" s="55" customFormat="1" ht="114.75">
      <c r="B124" s="52" t="s">
        <v>2128</v>
      </c>
      <c r="C124" s="78" t="s">
        <v>246</v>
      </c>
      <c r="D124" s="58" t="s">
        <v>249</v>
      </c>
      <c r="E124" s="56" t="s">
        <v>1874</v>
      </c>
      <c r="F124" s="56" t="s">
        <v>1874</v>
      </c>
      <c r="G124" s="56"/>
      <c r="H124" s="52" t="s">
        <v>243</v>
      </c>
      <c r="I124" s="52">
        <v>50</v>
      </c>
      <c r="J124" s="52">
        <v>350000000</v>
      </c>
      <c r="K124" s="56" t="s">
        <v>120</v>
      </c>
      <c r="L124" s="52" t="s">
        <v>1548</v>
      </c>
      <c r="M124" s="56" t="s">
        <v>120</v>
      </c>
      <c r="N124" s="52" t="s">
        <v>241</v>
      </c>
      <c r="O124" s="52" t="s">
        <v>1548</v>
      </c>
      <c r="P124" s="53" t="s">
        <v>344</v>
      </c>
      <c r="Q124" s="52">
        <v>796</v>
      </c>
      <c r="R124" s="52" t="s">
        <v>1818</v>
      </c>
      <c r="S124" s="54">
        <v>1</v>
      </c>
      <c r="T124" s="54">
        <f t="shared" si="15"/>
        <v>19298.245614035088</v>
      </c>
      <c r="U124" s="54">
        <f t="shared" si="16"/>
        <v>19642.857142857141</v>
      </c>
      <c r="V124" s="54">
        <v>22000</v>
      </c>
      <c r="W124" s="52"/>
      <c r="X124" s="52">
        <v>2012</v>
      </c>
      <c r="Y124" s="52"/>
      <c r="Z124" s="182"/>
    </row>
    <row r="125" spans="1:254" s="55" customFormat="1" ht="114.75">
      <c r="B125" s="52" t="s">
        <v>901</v>
      </c>
      <c r="C125" s="78" t="s">
        <v>246</v>
      </c>
      <c r="D125" s="58" t="s">
        <v>249</v>
      </c>
      <c r="E125" s="56" t="s">
        <v>1875</v>
      </c>
      <c r="F125" s="56" t="s">
        <v>1875</v>
      </c>
      <c r="G125" s="56"/>
      <c r="H125" s="52" t="s">
        <v>243</v>
      </c>
      <c r="I125" s="52">
        <v>50</v>
      </c>
      <c r="J125" s="52">
        <v>350000000</v>
      </c>
      <c r="K125" s="56" t="s">
        <v>120</v>
      </c>
      <c r="L125" s="52" t="s">
        <v>1548</v>
      </c>
      <c r="M125" s="56" t="s">
        <v>120</v>
      </c>
      <c r="N125" s="52" t="s">
        <v>241</v>
      </c>
      <c r="O125" s="52" t="s">
        <v>1548</v>
      </c>
      <c r="P125" s="53" t="s">
        <v>344</v>
      </c>
      <c r="Q125" s="52">
        <v>796</v>
      </c>
      <c r="R125" s="52" t="s">
        <v>1818</v>
      </c>
      <c r="S125" s="54">
        <v>1</v>
      </c>
      <c r="T125" s="54">
        <f>V125/114*100/S125</f>
        <v>22807.017543859649</v>
      </c>
      <c r="U125" s="54">
        <f t="shared" si="16"/>
        <v>23214.285714285714</v>
      </c>
      <c r="V125" s="54">
        <v>26000</v>
      </c>
      <c r="W125" s="52"/>
      <c r="X125" s="52">
        <v>2012</v>
      </c>
      <c r="Y125" s="52"/>
      <c r="Z125" s="183"/>
    </row>
    <row r="126" spans="1:254" s="55" customFormat="1" ht="114.75">
      <c r="B126" s="52" t="s">
        <v>902</v>
      </c>
      <c r="C126" s="78" t="s">
        <v>246</v>
      </c>
      <c r="D126" s="58" t="s">
        <v>249</v>
      </c>
      <c r="E126" s="56" t="s">
        <v>1876</v>
      </c>
      <c r="F126" s="56" t="s">
        <v>1876</v>
      </c>
      <c r="G126" s="56"/>
      <c r="H126" s="52" t="s">
        <v>243</v>
      </c>
      <c r="I126" s="52">
        <v>50</v>
      </c>
      <c r="J126" s="52">
        <v>350000000</v>
      </c>
      <c r="K126" s="56" t="s">
        <v>120</v>
      </c>
      <c r="L126" s="52" t="s">
        <v>1548</v>
      </c>
      <c r="M126" s="56" t="s">
        <v>120</v>
      </c>
      <c r="N126" s="52" t="s">
        <v>241</v>
      </c>
      <c r="O126" s="52" t="s">
        <v>1548</v>
      </c>
      <c r="P126" s="53" t="s">
        <v>344</v>
      </c>
      <c r="Q126" s="52">
        <v>796</v>
      </c>
      <c r="R126" s="52" t="s">
        <v>1818</v>
      </c>
      <c r="S126" s="54">
        <v>1</v>
      </c>
      <c r="T126" s="54">
        <f>V126/114*100/S126</f>
        <v>20175.438596491229</v>
      </c>
      <c r="U126" s="54">
        <f t="shared" si="16"/>
        <v>20535.714285714286</v>
      </c>
      <c r="V126" s="54">
        <v>23000</v>
      </c>
      <c r="W126" s="52"/>
      <c r="X126" s="52">
        <v>2012</v>
      </c>
      <c r="Y126" s="52"/>
      <c r="Z126" s="183"/>
    </row>
    <row r="127" spans="1:254" s="55" customFormat="1" ht="114.75">
      <c r="B127" s="52" t="s">
        <v>903</v>
      </c>
      <c r="C127" s="78" t="s">
        <v>246</v>
      </c>
      <c r="D127" s="58" t="s">
        <v>1963</v>
      </c>
      <c r="E127" s="56" t="s">
        <v>1877</v>
      </c>
      <c r="F127" s="56" t="s">
        <v>1877</v>
      </c>
      <c r="G127" s="56"/>
      <c r="H127" s="52" t="s">
        <v>243</v>
      </c>
      <c r="I127" s="52">
        <v>50</v>
      </c>
      <c r="J127" s="52">
        <v>350000000</v>
      </c>
      <c r="K127" s="56" t="s">
        <v>120</v>
      </c>
      <c r="L127" s="52" t="s">
        <v>1502</v>
      </c>
      <c r="M127" s="56" t="s">
        <v>120</v>
      </c>
      <c r="N127" s="52" t="s">
        <v>241</v>
      </c>
      <c r="O127" s="52" t="s">
        <v>2471</v>
      </c>
      <c r="P127" s="53" t="s">
        <v>344</v>
      </c>
      <c r="Q127" s="52">
        <v>796</v>
      </c>
      <c r="R127" s="52" t="s">
        <v>1818</v>
      </c>
      <c r="S127" s="54">
        <v>1</v>
      </c>
      <c r="T127" s="54">
        <f t="shared" si="15"/>
        <v>35964.912280701756</v>
      </c>
      <c r="U127" s="54">
        <f t="shared" si="16"/>
        <v>36607.142857142855</v>
      </c>
      <c r="V127" s="54">
        <v>41000</v>
      </c>
      <c r="W127" s="52"/>
      <c r="X127" s="52">
        <v>2012</v>
      </c>
      <c r="Y127" s="52"/>
      <c r="Z127" s="182"/>
    </row>
    <row r="128" spans="1:254" s="125" customFormat="1" ht="114.75">
      <c r="A128" s="55"/>
      <c r="B128" s="52" t="s">
        <v>904</v>
      </c>
      <c r="C128" s="78" t="s">
        <v>246</v>
      </c>
      <c r="D128" s="58" t="s">
        <v>1963</v>
      </c>
      <c r="E128" s="56" t="s">
        <v>1545</v>
      </c>
      <c r="F128" s="56" t="s">
        <v>1545</v>
      </c>
      <c r="G128" s="56"/>
      <c r="H128" s="52" t="s">
        <v>243</v>
      </c>
      <c r="I128" s="53">
        <v>50</v>
      </c>
      <c r="J128" s="52">
        <v>270000000</v>
      </c>
      <c r="K128" s="53" t="s">
        <v>98</v>
      </c>
      <c r="L128" s="52" t="s">
        <v>1464</v>
      </c>
      <c r="M128" s="53" t="s">
        <v>98</v>
      </c>
      <c r="N128" s="52" t="s">
        <v>241</v>
      </c>
      <c r="O128" s="52" t="s">
        <v>1548</v>
      </c>
      <c r="P128" s="53" t="s">
        <v>344</v>
      </c>
      <c r="Q128" s="52">
        <v>839</v>
      </c>
      <c r="R128" s="52" t="s">
        <v>1818</v>
      </c>
      <c r="S128" s="54">
        <v>8</v>
      </c>
      <c r="T128" s="54">
        <v>0</v>
      </c>
      <c r="U128" s="54">
        <f t="shared" si="16"/>
        <v>112500</v>
      </c>
      <c r="V128" s="54">
        <v>126000</v>
      </c>
      <c r="W128" s="52"/>
      <c r="X128" s="52">
        <v>2012</v>
      </c>
      <c r="Y128" s="52"/>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5"/>
      <c r="DR128" s="55"/>
      <c r="DS128" s="55"/>
      <c r="DT128" s="55"/>
      <c r="DU128" s="55"/>
      <c r="DV128" s="55"/>
      <c r="DW128" s="55"/>
      <c r="DX128" s="55"/>
      <c r="DY128" s="55"/>
      <c r="DZ128" s="55"/>
      <c r="EA128" s="55"/>
      <c r="EB128" s="55"/>
      <c r="EC128" s="55"/>
      <c r="ED128" s="55"/>
      <c r="EE128" s="55"/>
      <c r="EF128" s="55"/>
      <c r="EG128" s="55"/>
      <c r="EH128" s="55"/>
      <c r="EI128" s="55"/>
      <c r="EJ128" s="55"/>
      <c r="EK128" s="55"/>
      <c r="EL128" s="55"/>
      <c r="EM128" s="55"/>
      <c r="EN128" s="55"/>
      <c r="EO128" s="55"/>
      <c r="EP128" s="55"/>
      <c r="EQ128" s="55"/>
      <c r="ER128" s="55"/>
      <c r="ES128" s="55"/>
      <c r="ET128" s="55"/>
      <c r="EU128" s="55"/>
      <c r="EV128" s="55"/>
      <c r="EW128" s="55"/>
      <c r="EX128" s="55"/>
      <c r="EY128" s="55"/>
      <c r="EZ128" s="55"/>
      <c r="FA128" s="55"/>
      <c r="FB128" s="55"/>
      <c r="FC128" s="55"/>
      <c r="FD128" s="55"/>
      <c r="FE128" s="55"/>
      <c r="FF128" s="55"/>
      <c r="FG128" s="55"/>
      <c r="FH128" s="55"/>
      <c r="FI128" s="55"/>
      <c r="FJ128" s="55"/>
      <c r="FK128" s="55"/>
      <c r="FL128" s="55"/>
      <c r="FM128" s="55"/>
      <c r="FN128" s="55"/>
      <c r="FO128" s="55"/>
      <c r="FP128" s="55"/>
      <c r="FQ128" s="55"/>
      <c r="FR128" s="55"/>
      <c r="FS128" s="55"/>
      <c r="FT128" s="55"/>
      <c r="FU128" s="55"/>
      <c r="FV128" s="55"/>
      <c r="FW128" s="55"/>
      <c r="FX128" s="55"/>
      <c r="FY128" s="55"/>
      <c r="FZ128" s="55"/>
      <c r="GA128" s="55"/>
      <c r="GB128" s="55"/>
      <c r="GC128" s="55"/>
      <c r="GD128" s="55"/>
      <c r="GE128" s="55"/>
      <c r="GF128" s="55"/>
      <c r="GG128" s="55"/>
      <c r="GH128" s="55"/>
      <c r="GI128" s="55"/>
      <c r="GJ128" s="55"/>
      <c r="GK128" s="55"/>
      <c r="GL128" s="55"/>
      <c r="GM128" s="55"/>
      <c r="GN128" s="55"/>
      <c r="GO128" s="55"/>
      <c r="GP128" s="55"/>
      <c r="GQ128" s="55"/>
      <c r="GR128" s="55"/>
      <c r="GS128" s="55"/>
      <c r="GT128" s="55"/>
      <c r="GU128" s="55"/>
      <c r="GV128" s="55"/>
      <c r="GW128" s="55"/>
      <c r="GX128" s="55"/>
      <c r="GY128" s="55"/>
      <c r="GZ128" s="55"/>
      <c r="HA128" s="55"/>
      <c r="HB128" s="55"/>
      <c r="HC128" s="55"/>
      <c r="HD128" s="55"/>
      <c r="HE128" s="55"/>
      <c r="HF128" s="55"/>
      <c r="HG128" s="55"/>
      <c r="HH128" s="55"/>
      <c r="HI128" s="55"/>
      <c r="HJ128" s="55"/>
      <c r="HK128" s="55"/>
      <c r="HL128" s="55"/>
      <c r="HM128" s="55"/>
      <c r="HN128" s="55"/>
      <c r="HO128" s="55"/>
      <c r="HP128" s="55"/>
      <c r="HQ128" s="55"/>
      <c r="HR128" s="55"/>
      <c r="HS128" s="55"/>
      <c r="HT128" s="55"/>
      <c r="HU128" s="55"/>
      <c r="HV128" s="55"/>
      <c r="HW128" s="55"/>
      <c r="HX128" s="55"/>
      <c r="HY128" s="55"/>
      <c r="HZ128" s="55"/>
      <c r="IA128" s="55"/>
      <c r="IB128" s="55"/>
      <c r="IC128" s="55"/>
      <c r="ID128" s="55"/>
      <c r="IE128" s="55"/>
      <c r="IF128" s="55"/>
      <c r="IG128" s="55"/>
      <c r="IH128" s="55"/>
      <c r="II128" s="55"/>
      <c r="IJ128" s="55"/>
      <c r="IK128" s="55"/>
      <c r="IL128" s="55"/>
      <c r="IM128" s="55"/>
      <c r="IN128" s="55"/>
      <c r="IO128" s="55"/>
      <c r="IP128" s="55"/>
      <c r="IQ128" s="55"/>
      <c r="IR128" s="55"/>
      <c r="IS128" s="55"/>
      <c r="IT128" s="55"/>
    </row>
    <row r="129" spans="1:254" s="125" customFormat="1" ht="114.75">
      <c r="A129" s="55"/>
      <c r="B129" s="52" t="s">
        <v>905</v>
      </c>
      <c r="C129" s="78" t="s">
        <v>246</v>
      </c>
      <c r="D129" s="58" t="s">
        <v>1963</v>
      </c>
      <c r="E129" s="56" t="s">
        <v>1869</v>
      </c>
      <c r="F129" s="56" t="s">
        <v>1869</v>
      </c>
      <c r="G129" s="56"/>
      <c r="H129" s="52" t="s">
        <v>243</v>
      </c>
      <c r="I129" s="53">
        <v>50</v>
      </c>
      <c r="J129" s="52">
        <v>270000000</v>
      </c>
      <c r="K129" s="53" t="s">
        <v>98</v>
      </c>
      <c r="L129" s="52" t="s">
        <v>1463</v>
      </c>
      <c r="M129" s="53" t="s">
        <v>98</v>
      </c>
      <c r="N129" s="52" t="s">
        <v>241</v>
      </c>
      <c r="O129" s="52" t="s">
        <v>1502</v>
      </c>
      <c r="P129" s="53" t="s">
        <v>344</v>
      </c>
      <c r="Q129" s="52">
        <v>839</v>
      </c>
      <c r="R129" s="52" t="s">
        <v>1818</v>
      </c>
      <c r="S129" s="54">
        <v>1</v>
      </c>
      <c r="T129" s="54">
        <f>V129/114*100/S129</f>
        <v>28070.175438596492</v>
      </c>
      <c r="U129" s="54">
        <f t="shared" si="16"/>
        <v>28571.428571428572</v>
      </c>
      <c r="V129" s="54">
        <v>32000</v>
      </c>
      <c r="W129" s="52"/>
      <c r="X129" s="52">
        <v>2012</v>
      </c>
      <c r="Y129" s="52"/>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c r="EO129" s="55"/>
      <c r="EP129" s="55"/>
      <c r="EQ129" s="55"/>
      <c r="ER129" s="55"/>
      <c r="ES129" s="55"/>
      <c r="ET129" s="55"/>
      <c r="EU129" s="55"/>
      <c r="EV129" s="55"/>
      <c r="EW129" s="55"/>
      <c r="EX129" s="55"/>
      <c r="EY129" s="55"/>
      <c r="EZ129" s="55"/>
      <c r="FA129" s="55"/>
      <c r="FB129" s="55"/>
      <c r="FC129" s="55"/>
      <c r="FD129" s="55"/>
      <c r="FE129" s="55"/>
      <c r="FF129" s="55"/>
      <c r="FG129" s="55"/>
      <c r="FH129" s="55"/>
      <c r="FI129" s="55"/>
      <c r="FJ129" s="55"/>
      <c r="FK129" s="55"/>
      <c r="FL129" s="55"/>
      <c r="FM129" s="55"/>
      <c r="FN129" s="55"/>
      <c r="FO129" s="55"/>
      <c r="FP129" s="55"/>
      <c r="FQ129" s="55"/>
      <c r="FR129" s="55"/>
      <c r="FS129" s="55"/>
      <c r="FT129" s="55"/>
      <c r="FU129" s="55"/>
      <c r="FV129" s="55"/>
      <c r="FW129" s="55"/>
      <c r="FX129" s="55"/>
      <c r="FY129" s="55"/>
      <c r="FZ129" s="55"/>
      <c r="GA129" s="55"/>
      <c r="GB129" s="55"/>
      <c r="GC129" s="55"/>
      <c r="GD129" s="55"/>
      <c r="GE129" s="55"/>
      <c r="GF129" s="55"/>
      <c r="GG129" s="55"/>
      <c r="GH129" s="55"/>
      <c r="GI129" s="55"/>
      <c r="GJ129" s="55"/>
      <c r="GK129" s="55"/>
      <c r="GL129" s="55"/>
      <c r="GM129" s="55"/>
      <c r="GN129" s="55"/>
      <c r="GO129" s="55"/>
      <c r="GP129" s="55"/>
      <c r="GQ129" s="55"/>
      <c r="GR129" s="55"/>
      <c r="GS129" s="55"/>
      <c r="GT129" s="55"/>
      <c r="GU129" s="55"/>
      <c r="GV129" s="55"/>
      <c r="GW129" s="55"/>
      <c r="GX129" s="55"/>
      <c r="GY129" s="55"/>
      <c r="GZ129" s="55"/>
      <c r="HA129" s="55"/>
      <c r="HB129" s="55"/>
      <c r="HC129" s="55"/>
      <c r="HD129" s="55"/>
      <c r="HE129" s="55"/>
      <c r="HF129" s="55"/>
      <c r="HG129" s="55"/>
      <c r="HH129" s="55"/>
      <c r="HI129" s="55"/>
      <c r="HJ129" s="55"/>
      <c r="HK129" s="55"/>
      <c r="HL129" s="55"/>
      <c r="HM129" s="55"/>
      <c r="HN129" s="55"/>
      <c r="HO129" s="55"/>
      <c r="HP129" s="55"/>
      <c r="HQ129" s="55"/>
      <c r="HR129" s="55"/>
      <c r="HS129" s="55"/>
      <c r="HT129" s="55"/>
      <c r="HU129" s="55"/>
      <c r="HV129" s="55"/>
      <c r="HW129" s="55"/>
      <c r="HX129" s="55"/>
      <c r="HY129" s="55"/>
      <c r="HZ129" s="55"/>
      <c r="IA129" s="55"/>
      <c r="IB129" s="55"/>
      <c r="IC129" s="55"/>
      <c r="ID129" s="55"/>
      <c r="IE129" s="55"/>
      <c r="IF129" s="55"/>
      <c r="IG129" s="55"/>
      <c r="IH129" s="55"/>
      <c r="II129" s="55"/>
      <c r="IJ129" s="55"/>
      <c r="IK129" s="55"/>
      <c r="IL129" s="55"/>
      <c r="IM129" s="55"/>
      <c r="IN129" s="55"/>
      <c r="IO129" s="55"/>
      <c r="IP129" s="55"/>
      <c r="IQ129" s="55"/>
      <c r="IR129" s="55"/>
      <c r="IS129" s="55"/>
      <c r="IT129" s="55"/>
    </row>
    <row r="130" spans="1:254" s="55" customFormat="1" ht="114.75">
      <c r="B130" s="52" t="s">
        <v>906</v>
      </c>
      <c r="C130" s="78" t="s">
        <v>246</v>
      </c>
      <c r="D130" s="58" t="s">
        <v>249</v>
      </c>
      <c r="E130" s="56" t="s">
        <v>1852</v>
      </c>
      <c r="F130" s="56" t="s">
        <v>1852</v>
      </c>
      <c r="G130" s="56"/>
      <c r="H130" s="52" t="s">
        <v>243</v>
      </c>
      <c r="I130" s="53">
        <v>50</v>
      </c>
      <c r="J130" s="52">
        <v>270000000</v>
      </c>
      <c r="K130" s="53" t="s">
        <v>98</v>
      </c>
      <c r="L130" s="52" t="s">
        <v>2303</v>
      </c>
      <c r="M130" s="53" t="s">
        <v>98</v>
      </c>
      <c r="N130" s="52" t="s">
        <v>241</v>
      </c>
      <c r="O130" s="52" t="s">
        <v>1685</v>
      </c>
      <c r="P130" s="53" t="s">
        <v>344</v>
      </c>
      <c r="Q130" s="52">
        <v>839</v>
      </c>
      <c r="R130" s="52" t="s">
        <v>1818</v>
      </c>
      <c r="S130" s="54">
        <v>1</v>
      </c>
      <c r="T130" s="54">
        <f>V130/114*100/S130</f>
        <v>30701.754385964909</v>
      </c>
      <c r="U130" s="54">
        <f t="shared" si="16"/>
        <v>31250</v>
      </c>
      <c r="V130" s="54">
        <v>35000</v>
      </c>
      <c r="W130" s="52"/>
      <c r="X130" s="52">
        <v>2012</v>
      </c>
      <c r="Y130" s="52"/>
    </row>
    <row r="131" spans="1:254" s="55" customFormat="1" ht="114.75">
      <c r="B131" s="52" t="s">
        <v>907</v>
      </c>
      <c r="C131" s="78" t="s">
        <v>246</v>
      </c>
      <c r="D131" s="58" t="s">
        <v>249</v>
      </c>
      <c r="E131" s="56" t="s">
        <v>90</v>
      </c>
      <c r="F131" s="56" t="s">
        <v>90</v>
      </c>
      <c r="G131" s="56"/>
      <c r="H131" s="52" t="s">
        <v>243</v>
      </c>
      <c r="I131" s="53">
        <v>50</v>
      </c>
      <c r="J131" s="52">
        <v>270000000</v>
      </c>
      <c r="K131" s="53" t="s">
        <v>98</v>
      </c>
      <c r="L131" s="52" t="s">
        <v>1463</v>
      </c>
      <c r="M131" s="53" t="s">
        <v>98</v>
      </c>
      <c r="N131" s="52" t="s">
        <v>241</v>
      </c>
      <c r="O131" s="52" t="s">
        <v>1502</v>
      </c>
      <c r="P131" s="53" t="s">
        <v>344</v>
      </c>
      <c r="Q131" s="52">
        <v>839</v>
      </c>
      <c r="R131" s="52" t="s">
        <v>1818</v>
      </c>
      <c r="S131" s="54">
        <v>3</v>
      </c>
      <c r="T131" s="54">
        <f>V131/114*100/S131</f>
        <v>13157.894736842107</v>
      </c>
      <c r="U131" s="54">
        <f t="shared" si="16"/>
        <v>40178.571428571428</v>
      </c>
      <c r="V131" s="54">
        <v>45000</v>
      </c>
      <c r="W131" s="52"/>
      <c r="X131" s="52">
        <v>2012</v>
      </c>
      <c r="Y131" s="52"/>
    </row>
    <row r="132" spans="1:254" s="55" customFormat="1" ht="114.75">
      <c r="B132" s="52" t="s">
        <v>908</v>
      </c>
      <c r="C132" s="78" t="s">
        <v>246</v>
      </c>
      <c r="D132" s="58" t="s">
        <v>1963</v>
      </c>
      <c r="E132" s="56" t="s">
        <v>94</v>
      </c>
      <c r="F132" s="56" t="s">
        <v>94</v>
      </c>
      <c r="G132" s="56"/>
      <c r="H132" s="52" t="s">
        <v>243</v>
      </c>
      <c r="I132" s="53">
        <v>50</v>
      </c>
      <c r="J132" s="52">
        <v>390000000</v>
      </c>
      <c r="K132" s="53" t="s">
        <v>100</v>
      </c>
      <c r="L132" s="52" t="s">
        <v>1755</v>
      </c>
      <c r="M132" s="53" t="s">
        <v>100</v>
      </c>
      <c r="N132" s="52" t="s">
        <v>241</v>
      </c>
      <c r="O132" s="52" t="s">
        <v>1557</v>
      </c>
      <c r="P132" s="53" t="s">
        <v>344</v>
      </c>
      <c r="Q132" s="52">
        <v>839</v>
      </c>
      <c r="R132" s="52" t="s">
        <v>1818</v>
      </c>
      <c r="S132" s="54">
        <v>3</v>
      </c>
      <c r="T132" s="54">
        <f t="shared" si="15"/>
        <v>21929.824561403511</v>
      </c>
      <c r="U132" s="54">
        <f t="shared" si="16"/>
        <v>66964.28571428571</v>
      </c>
      <c r="V132" s="54">
        <v>75000</v>
      </c>
      <c r="W132" s="52"/>
      <c r="X132" s="52">
        <v>2012</v>
      </c>
      <c r="Y132" s="52"/>
    </row>
    <row r="133" spans="1:254" s="55" customFormat="1" ht="114.75">
      <c r="B133" s="52" t="s">
        <v>909</v>
      </c>
      <c r="C133" s="78" t="s">
        <v>246</v>
      </c>
      <c r="D133" s="58" t="s">
        <v>249</v>
      </c>
      <c r="E133" s="56" t="s">
        <v>1852</v>
      </c>
      <c r="F133" s="56" t="s">
        <v>1852</v>
      </c>
      <c r="G133" s="56"/>
      <c r="H133" s="52" t="s">
        <v>243</v>
      </c>
      <c r="I133" s="53">
        <v>50</v>
      </c>
      <c r="J133" s="52">
        <v>390000000</v>
      </c>
      <c r="K133" s="53" t="s">
        <v>100</v>
      </c>
      <c r="L133" s="52" t="s">
        <v>1755</v>
      </c>
      <c r="M133" s="53" t="s">
        <v>100</v>
      </c>
      <c r="N133" s="52" t="s">
        <v>241</v>
      </c>
      <c r="O133" s="52" t="s">
        <v>1759</v>
      </c>
      <c r="P133" s="53" t="s">
        <v>344</v>
      </c>
      <c r="Q133" s="52">
        <v>839</v>
      </c>
      <c r="R133" s="52" t="s">
        <v>1818</v>
      </c>
      <c r="S133" s="54">
        <v>1</v>
      </c>
      <c r="T133" s="54">
        <f t="shared" si="15"/>
        <v>42105.263157894733</v>
      </c>
      <c r="U133" s="54">
        <f t="shared" si="16"/>
        <v>42857.142857142855</v>
      </c>
      <c r="V133" s="54">
        <v>48000</v>
      </c>
      <c r="W133" s="52"/>
      <c r="X133" s="52">
        <v>2012</v>
      </c>
      <c r="Y133" s="52"/>
    </row>
    <row r="134" spans="1:254" s="55" customFormat="1" ht="114.75">
      <c r="B134" s="52" t="s">
        <v>910</v>
      </c>
      <c r="C134" s="78" t="s">
        <v>246</v>
      </c>
      <c r="D134" s="58" t="s">
        <v>1963</v>
      </c>
      <c r="E134" s="56" t="s">
        <v>99</v>
      </c>
      <c r="F134" s="56" t="s">
        <v>99</v>
      </c>
      <c r="G134" s="56"/>
      <c r="H134" s="52" t="s">
        <v>243</v>
      </c>
      <c r="I134" s="53">
        <v>50</v>
      </c>
      <c r="J134" s="52">
        <v>390000000</v>
      </c>
      <c r="K134" s="53" t="s">
        <v>100</v>
      </c>
      <c r="L134" s="52" t="s">
        <v>1463</v>
      </c>
      <c r="M134" s="53" t="s">
        <v>100</v>
      </c>
      <c r="N134" s="52" t="s">
        <v>241</v>
      </c>
      <c r="O134" s="52" t="s">
        <v>1465</v>
      </c>
      <c r="P134" s="53" t="s">
        <v>344</v>
      </c>
      <c r="Q134" s="52">
        <v>839</v>
      </c>
      <c r="R134" s="52" t="s">
        <v>1818</v>
      </c>
      <c r="S134" s="54">
        <v>5</v>
      </c>
      <c r="T134" s="54">
        <f t="shared" si="15"/>
        <v>26315.789473684214</v>
      </c>
      <c r="U134" s="54">
        <f t="shared" si="16"/>
        <v>133928.57142857142</v>
      </c>
      <c r="V134" s="54">
        <v>150000</v>
      </c>
      <c r="W134" s="52"/>
      <c r="X134" s="52">
        <v>2012</v>
      </c>
      <c r="Y134" s="52"/>
    </row>
    <row r="135" spans="1:254" s="55" customFormat="1" ht="114.75">
      <c r="B135" s="52" t="s">
        <v>1630</v>
      </c>
      <c r="C135" s="78" t="s">
        <v>246</v>
      </c>
      <c r="D135" s="58" t="s">
        <v>1964</v>
      </c>
      <c r="E135" s="56" t="s">
        <v>1822</v>
      </c>
      <c r="F135" s="56" t="s">
        <v>1822</v>
      </c>
      <c r="G135" s="56"/>
      <c r="H135" s="52" t="s">
        <v>243</v>
      </c>
      <c r="I135" s="53">
        <v>50</v>
      </c>
      <c r="J135" s="52">
        <v>390000000</v>
      </c>
      <c r="K135" s="53" t="s">
        <v>100</v>
      </c>
      <c r="L135" s="52" t="s">
        <v>1755</v>
      </c>
      <c r="M135" s="53" t="s">
        <v>100</v>
      </c>
      <c r="N135" s="52" t="s">
        <v>241</v>
      </c>
      <c r="O135" s="52" t="s">
        <v>1557</v>
      </c>
      <c r="P135" s="53" t="s">
        <v>344</v>
      </c>
      <c r="Q135" s="52">
        <v>839</v>
      </c>
      <c r="R135" s="52" t="s">
        <v>1818</v>
      </c>
      <c r="S135" s="54">
        <v>3</v>
      </c>
      <c r="T135" s="54">
        <f t="shared" si="15"/>
        <v>8771.9298245614027</v>
      </c>
      <c r="U135" s="54">
        <f t="shared" si="16"/>
        <v>26785.714285714283</v>
      </c>
      <c r="V135" s="54">
        <v>30000</v>
      </c>
      <c r="W135" s="52"/>
      <c r="X135" s="52">
        <v>2012</v>
      </c>
      <c r="Y135" s="52"/>
    </row>
    <row r="136" spans="1:254" s="55" customFormat="1" ht="114.75">
      <c r="B136" s="52" t="s">
        <v>1631</v>
      </c>
      <c r="C136" s="78" t="s">
        <v>246</v>
      </c>
      <c r="D136" s="128" t="s">
        <v>2326</v>
      </c>
      <c r="E136" s="56" t="s">
        <v>89</v>
      </c>
      <c r="F136" s="56" t="s">
        <v>89</v>
      </c>
      <c r="G136" s="56"/>
      <c r="H136" s="52" t="s">
        <v>243</v>
      </c>
      <c r="I136" s="52">
        <v>0</v>
      </c>
      <c r="J136" s="52">
        <v>390000000</v>
      </c>
      <c r="K136" s="53" t="s">
        <v>100</v>
      </c>
      <c r="L136" s="52" t="s">
        <v>1503</v>
      </c>
      <c r="M136" s="53" t="s">
        <v>100</v>
      </c>
      <c r="N136" s="52" t="s">
        <v>241</v>
      </c>
      <c r="O136" s="52" t="s">
        <v>1471</v>
      </c>
      <c r="P136" s="53" t="s">
        <v>344</v>
      </c>
      <c r="Q136" s="52">
        <v>839</v>
      </c>
      <c r="R136" s="52" t="s">
        <v>1818</v>
      </c>
      <c r="S136" s="54">
        <v>1</v>
      </c>
      <c r="T136" s="54">
        <f t="shared" si="15"/>
        <v>24561.403508771928</v>
      </c>
      <c r="U136" s="54">
        <f t="shared" si="16"/>
        <v>25000</v>
      </c>
      <c r="V136" s="54">
        <v>28000</v>
      </c>
      <c r="W136" s="52"/>
      <c r="X136" s="52">
        <v>2012</v>
      </c>
      <c r="Y136" s="52"/>
    </row>
    <row r="137" spans="1:254" s="55" customFormat="1" ht="114.75">
      <c r="A137" s="52"/>
      <c r="B137" s="52" t="s">
        <v>1632</v>
      </c>
      <c r="C137" s="78" t="s">
        <v>246</v>
      </c>
      <c r="D137" s="58" t="s">
        <v>249</v>
      </c>
      <c r="E137" s="56" t="s">
        <v>90</v>
      </c>
      <c r="F137" s="56" t="s">
        <v>90</v>
      </c>
      <c r="G137" s="56"/>
      <c r="H137" s="52" t="s">
        <v>243</v>
      </c>
      <c r="I137" s="52">
        <v>0</v>
      </c>
      <c r="J137" s="52">
        <v>390000000</v>
      </c>
      <c r="K137" s="53" t="s">
        <v>100</v>
      </c>
      <c r="L137" s="52" t="s">
        <v>343</v>
      </c>
      <c r="M137" s="53" t="s">
        <v>100</v>
      </c>
      <c r="N137" s="52" t="s">
        <v>241</v>
      </c>
      <c r="O137" s="52" t="s">
        <v>2477</v>
      </c>
      <c r="P137" s="53" t="s">
        <v>344</v>
      </c>
      <c r="Q137" s="52">
        <v>839</v>
      </c>
      <c r="R137" s="52" t="s">
        <v>1818</v>
      </c>
      <c r="S137" s="54">
        <v>3</v>
      </c>
      <c r="T137" s="54">
        <f t="shared" si="15"/>
        <v>30701.754385964912</v>
      </c>
      <c r="U137" s="54">
        <f t="shared" si="16"/>
        <v>93750</v>
      </c>
      <c r="V137" s="54">
        <v>105000</v>
      </c>
      <c r="W137" s="52"/>
      <c r="X137" s="52">
        <v>2012</v>
      </c>
      <c r="Y137" s="52"/>
    </row>
    <row r="138" spans="1:254" s="55" customFormat="1" ht="51">
      <c r="A138" s="52"/>
      <c r="B138" s="52" t="s">
        <v>1633</v>
      </c>
      <c r="C138" s="78" t="s">
        <v>246</v>
      </c>
      <c r="D138" s="58" t="s">
        <v>1963</v>
      </c>
      <c r="E138" s="56" t="s">
        <v>94</v>
      </c>
      <c r="F138" s="56" t="s">
        <v>94</v>
      </c>
      <c r="G138" s="56"/>
      <c r="H138" s="52" t="s">
        <v>243</v>
      </c>
      <c r="I138" s="52">
        <v>0</v>
      </c>
      <c r="J138" s="52">
        <v>590000000</v>
      </c>
      <c r="K138" s="53" t="s">
        <v>103</v>
      </c>
      <c r="L138" s="52" t="s">
        <v>1502</v>
      </c>
      <c r="M138" s="53" t="s">
        <v>103</v>
      </c>
      <c r="N138" s="52" t="s">
        <v>241</v>
      </c>
      <c r="O138" s="52" t="s">
        <v>2476</v>
      </c>
      <c r="P138" s="53" t="s">
        <v>1524</v>
      </c>
      <c r="Q138" s="52">
        <v>839</v>
      </c>
      <c r="R138" s="52" t="s">
        <v>1818</v>
      </c>
      <c r="S138" s="54">
        <v>2</v>
      </c>
      <c r="T138" s="54">
        <f>V138/114*100/S138</f>
        <v>16578.947368421053</v>
      </c>
      <c r="U138" s="54">
        <f t="shared" si="16"/>
        <v>33750</v>
      </c>
      <c r="V138" s="54">
        <v>37800</v>
      </c>
      <c r="W138" s="52"/>
      <c r="X138" s="52">
        <v>2012</v>
      </c>
      <c r="Y138" s="52"/>
    </row>
    <row r="139" spans="1:254" s="55" customFormat="1" ht="51">
      <c r="B139" s="52" t="s">
        <v>1634</v>
      </c>
      <c r="C139" s="78" t="s">
        <v>246</v>
      </c>
      <c r="D139" s="58" t="s">
        <v>1963</v>
      </c>
      <c r="E139" s="56" t="s">
        <v>1869</v>
      </c>
      <c r="F139" s="56" t="s">
        <v>1869</v>
      </c>
      <c r="G139" s="56"/>
      <c r="H139" s="52" t="s">
        <v>243</v>
      </c>
      <c r="I139" s="52">
        <v>50</v>
      </c>
      <c r="J139" s="52">
        <v>590000000</v>
      </c>
      <c r="K139" s="53" t="s">
        <v>103</v>
      </c>
      <c r="L139" s="52" t="s">
        <v>1502</v>
      </c>
      <c r="M139" s="53" t="s">
        <v>103</v>
      </c>
      <c r="N139" s="52" t="s">
        <v>241</v>
      </c>
      <c r="O139" s="52" t="s">
        <v>2476</v>
      </c>
      <c r="P139" s="53" t="s">
        <v>1524</v>
      </c>
      <c r="Q139" s="52">
        <v>796</v>
      </c>
      <c r="R139" s="52" t="s">
        <v>1818</v>
      </c>
      <c r="S139" s="54">
        <v>1</v>
      </c>
      <c r="T139" s="54">
        <f t="shared" ref="T139:T150" si="17">V139/114*100/S139</f>
        <v>23596.491228070176</v>
      </c>
      <c r="U139" s="54">
        <f t="shared" si="16"/>
        <v>24017.857142857141</v>
      </c>
      <c r="V139" s="54">
        <v>26900</v>
      </c>
      <c r="W139" s="52"/>
      <c r="X139" s="52">
        <v>2012</v>
      </c>
      <c r="Y139" s="52"/>
    </row>
    <row r="140" spans="1:254" s="55" customFormat="1" ht="51">
      <c r="B140" s="52" t="s">
        <v>1635</v>
      </c>
      <c r="C140" s="78" t="s">
        <v>246</v>
      </c>
      <c r="D140" s="58" t="s">
        <v>249</v>
      </c>
      <c r="E140" s="56" t="s">
        <v>1878</v>
      </c>
      <c r="F140" s="56" t="s">
        <v>1878</v>
      </c>
      <c r="G140" s="56"/>
      <c r="H140" s="52" t="s">
        <v>243</v>
      </c>
      <c r="I140" s="52">
        <v>50</v>
      </c>
      <c r="J140" s="52">
        <v>590000000</v>
      </c>
      <c r="K140" s="53" t="s">
        <v>103</v>
      </c>
      <c r="L140" s="52" t="s">
        <v>1502</v>
      </c>
      <c r="M140" s="53" t="s">
        <v>103</v>
      </c>
      <c r="N140" s="52" t="s">
        <v>241</v>
      </c>
      <c r="O140" s="52" t="s">
        <v>2476</v>
      </c>
      <c r="P140" s="53" t="s">
        <v>1524</v>
      </c>
      <c r="Q140" s="52">
        <v>796</v>
      </c>
      <c r="R140" s="52" t="s">
        <v>1818</v>
      </c>
      <c r="S140" s="54">
        <v>1</v>
      </c>
      <c r="T140" s="54">
        <f t="shared" si="17"/>
        <v>52631.578947368413</v>
      </c>
      <c r="U140" s="54">
        <f t="shared" si="16"/>
        <v>53571.428571428565</v>
      </c>
      <c r="V140" s="54">
        <v>60000</v>
      </c>
      <c r="W140" s="52"/>
      <c r="X140" s="52">
        <v>2012</v>
      </c>
      <c r="Y140" s="52"/>
    </row>
    <row r="141" spans="1:254" s="55" customFormat="1" ht="51">
      <c r="B141" s="52" t="s">
        <v>1636</v>
      </c>
      <c r="C141" s="78" t="s">
        <v>246</v>
      </c>
      <c r="D141" s="58" t="s">
        <v>1963</v>
      </c>
      <c r="E141" s="56" t="s">
        <v>1879</v>
      </c>
      <c r="F141" s="56" t="s">
        <v>1879</v>
      </c>
      <c r="G141" s="56"/>
      <c r="H141" s="52" t="s">
        <v>243</v>
      </c>
      <c r="I141" s="52">
        <v>50</v>
      </c>
      <c r="J141" s="52">
        <v>590000000</v>
      </c>
      <c r="K141" s="53" t="s">
        <v>103</v>
      </c>
      <c r="L141" s="52" t="s">
        <v>1502</v>
      </c>
      <c r="M141" s="53" t="s">
        <v>103</v>
      </c>
      <c r="N141" s="52" t="s">
        <v>241</v>
      </c>
      <c r="O141" s="52" t="s">
        <v>2476</v>
      </c>
      <c r="P141" s="53" t="s">
        <v>1524</v>
      </c>
      <c r="Q141" s="52">
        <v>796</v>
      </c>
      <c r="R141" s="52" t="s">
        <v>1818</v>
      </c>
      <c r="S141" s="54">
        <v>2</v>
      </c>
      <c r="T141" s="54">
        <f t="shared" si="17"/>
        <v>25350.877192982454</v>
      </c>
      <c r="U141" s="54">
        <f t="shared" si="16"/>
        <v>51607.142857142855</v>
      </c>
      <c r="V141" s="54">
        <v>57800</v>
      </c>
      <c r="W141" s="52"/>
      <c r="X141" s="52">
        <v>2012</v>
      </c>
      <c r="Y141" s="52"/>
    </row>
    <row r="142" spans="1:254" s="55" customFormat="1" ht="51">
      <c r="B142" s="52" t="s">
        <v>1637</v>
      </c>
      <c r="C142" s="78" t="s">
        <v>246</v>
      </c>
      <c r="D142" s="58" t="s">
        <v>1963</v>
      </c>
      <c r="E142" s="56" t="s">
        <v>99</v>
      </c>
      <c r="F142" s="56" t="s">
        <v>99</v>
      </c>
      <c r="G142" s="56"/>
      <c r="H142" s="52" t="s">
        <v>243</v>
      </c>
      <c r="I142" s="52">
        <v>50</v>
      </c>
      <c r="J142" s="52">
        <v>590000000</v>
      </c>
      <c r="K142" s="53" t="s">
        <v>103</v>
      </c>
      <c r="L142" s="52" t="s">
        <v>1502</v>
      </c>
      <c r="M142" s="53" t="s">
        <v>103</v>
      </c>
      <c r="N142" s="52" t="s">
        <v>241</v>
      </c>
      <c r="O142" s="52" t="s">
        <v>2476</v>
      </c>
      <c r="P142" s="53" t="s">
        <v>1524</v>
      </c>
      <c r="Q142" s="52">
        <v>796</v>
      </c>
      <c r="R142" s="52" t="s">
        <v>1818</v>
      </c>
      <c r="S142" s="54">
        <v>2</v>
      </c>
      <c r="T142" s="54">
        <f t="shared" si="17"/>
        <v>32894.736842105267</v>
      </c>
      <c r="U142" s="54">
        <f t="shared" si="16"/>
        <v>66964.28571428571</v>
      </c>
      <c r="V142" s="54">
        <v>75000</v>
      </c>
      <c r="W142" s="52"/>
      <c r="X142" s="52">
        <v>2012</v>
      </c>
      <c r="Y142" s="52"/>
    </row>
    <row r="143" spans="1:254" s="55" customFormat="1" ht="51">
      <c r="B143" s="52" t="s">
        <v>1638</v>
      </c>
      <c r="C143" s="78" t="s">
        <v>246</v>
      </c>
      <c r="D143" s="58" t="s">
        <v>1963</v>
      </c>
      <c r="E143" s="56" t="s">
        <v>1880</v>
      </c>
      <c r="F143" s="56" t="s">
        <v>1880</v>
      </c>
      <c r="G143" s="56"/>
      <c r="H143" s="52" t="s">
        <v>243</v>
      </c>
      <c r="I143" s="52">
        <v>50</v>
      </c>
      <c r="J143" s="52">
        <v>590000000</v>
      </c>
      <c r="K143" s="53" t="s">
        <v>103</v>
      </c>
      <c r="L143" s="52" t="s">
        <v>1502</v>
      </c>
      <c r="M143" s="53" t="s">
        <v>103</v>
      </c>
      <c r="N143" s="52" t="s">
        <v>241</v>
      </c>
      <c r="O143" s="52" t="s">
        <v>2476</v>
      </c>
      <c r="P143" s="53" t="s">
        <v>1524</v>
      </c>
      <c r="Q143" s="52">
        <v>796</v>
      </c>
      <c r="R143" s="52" t="s">
        <v>1818</v>
      </c>
      <c r="S143" s="54">
        <v>1</v>
      </c>
      <c r="T143" s="54">
        <f t="shared" si="17"/>
        <v>13157.894736842103</v>
      </c>
      <c r="U143" s="54">
        <f t="shared" si="16"/>
        <v>13392.857142857141</v>
      </c>
      <c r="V143" s="54">
        <v>15000</v>
      </c>
      <c r="W143" s="52"/>
      <c r="X143" s="52">
        <v>2012</v>
      </c>
      <c r="Y143" s="52"/>
    </row>
    <row r="144" spans="1:254" s="55" customFormat="1" ht="51">
      <c r="B144" s="52" t="s">
        <v>1639</v>
      </c>
      <c r="C144" s="78" t="s">
        <v>246</v>
      </c>
      <c r="D144" s="58" t="s">
        <v>1964</v>
      </c>
      <c r="E144" s="56" t="s">
        <v>1822</v>
      </c>
      <c r="F144" s="56" t="s">
        <v>1822</v>
      </c>
      <c r="G144" s="56"/>
      <c r="H144" s="52" t="s">
        <v>243</v>
      </c>
      <c r="I144" s="52">
        <v>50</v>
      </c>
      <c r="J144" s="52">
        <v>590000000</v>
      </c>
      <c r="K144" s="53" t="s">
        <v>103</v>
      </c>
      <c r="L144" s="52" t="s">
        <v>1502</v>
      </c>
      <c r="M144" s="53" t="s">
        <v>103</v>
      </c>
      <c r="N144" s="52" t="s">
        <v>241</v>
      </c>
      <c r="O144" s="52" t="s">
        <v>2476</v>
      </c>
      <c r="P144" s="53" t="s">
        <v>1524</v>
      </c>
      <c r="Q144" s="52">
        <v>796</v>
      </c>
      <c r="R144" s="52" t="s">
        <v>1818</v>
      </c>
      <c r="S144" s="54">
        <v>2</v>
      </c>
      <c r="T144" s="54">
        <f t="shared" si="17"/>
        <v>17982.456140350878</v>
      </c>
      <c r="U144" s="54">
        <f t="shared" si="16"/>
        <v>36607.142857142855</v>
      </c>
      <c r="V144" s="54">
        <v>41000</v>
      </c>
      <c r="W144" s="52"/>
      <c r="X144" s="52">
        <v>2012</v>
      </c>
      <c r="Y144" s="52"/>
    </row>
    <row r="145" spans="2:25" s="55" customFormat="1" ht="51">
      <c r="B145" s="52" t="s">
        <v>1640</v>
      </c>
      <c r="C145" s="78" t="s">
        <v>246</v>
      </c>
      <c r="D145" s="58" t="s">
        <v>1964</v>
      </c>
      <c r="E145" s="56" t="s">
        <v>1881</v>
      </c>
      <c r="F145" s="56" t="s">
        <v>1881</v>
      </c>
      <c r="G145" s="56"/>
      <c r="H145" s="52" t="s">
        <v>243</v>
      </c>
      <c r="I145" s="52">
        <v>10</v>
      </c>
      <c r="J145" s="52">
        <v>590000000</v>
      </c>
      <c r="K145" s="53" t="s">
        <v>103</v>
      </c>
      <c r="L145" s="52" t="s">
        <v>1502</v>
      </c>
      <c r="M145" s="53" t="s">
        <v>103</v>
      </c>
      <c r="N145" s="52" t="s">
        <v>241</v>
      </c>
      <c r="O145" s="52" t="s">
        <v>2476</v>
      </c>
      <c r="P145" s="53" t="s">
        <v>1524</v>
      </c>
      <c r="Q145" s="52">
        <v>796</v>
      </c>
      <c r="R145" s="52" t="s">
        <v>1818</v>
      </c>
      <c r="S145" s="54">
        <v>6</v>
      </c>
      <c r="T145" s="54">
        <f t="shared" si="17"/>
        <v>8333.3333333333339</v>
      </c>
      <c r="U145" s="54">
        <f t="shared" si="16"/>
        <v>50892.857142857145</v>
      </c>
      <c r="V145" s="54">
        <v>57000</v>
      </c>
      <c r="W145" s="52"/>
      <c r="X145" s="52">
        <v>2012</v>
      </c>
      <c r="Y145" s="52"/>
    </row>
    <row r="146" spans="2:25" s="55" customFormat="1" ht="51">
      <c r="B146" s="52" t="s">
        <v>1641</v>
      </c>
      <c r="C146" s="78" t="s">
        <v>246</v>
      </c>
      <c r="D146" s="58" t="s">
        <v>1963</v>
      </c>
      <c r="E146" s="56" t="s">
        <v>1870</v>
      </c>
      <c r="F146" s="56" t="s">
        <v>1870</v>
      </c>
      <c r="G146" s="56"/>
      <c r="H146" s="52" t="s">
        <v>243</v>
      </c>
      <c r="I146" s="52">
        <v>10</v>
      </c>
      <c r="J146" s="52">
        <v>590000000</v>
      </c>
      <c r="K146" s="53" t="s">
        <v>103</v>
      </c>
      <c r="L146" s="52" t="s">
        <v>1502</v>
      </c>
      <c r="M146" s="53" t="s">
        <v>103</v>
      </c>
      <c r="N146" s="52" t="s">
        <v>241</v>
      </c>
      <c r="O146" s="52" t="s">
        <v>2476</v>
      </c>
      <c r="P146" s="53" t="s">
        <v>1524</v>
      </c>
      <c r="Q146" s="52">
        <v>796</v>
      </c>
      <c r="R146" s="52" t="s">
        <v>1818</v>
      </c>
      <c r="S146" s="54">
        <v>1</v>
      </c>
      <c r="T146" s="54">
        <f t="shared" si="17"/>
        <v>56666.666666666664</v>
      </c>
      <c r="U146" s="54">
        <f t="shared" si="16"/>
        <v>57678.571428571435</v>
      </c>
      <c r="V146" s="54">
        <v>64600</v>
      </c>
      <c r="W146" s="52"/>
      <c r="X146" s="52">
        <v>2012</v>
      </c>
      <c r="Y146" s="52"/>
    </row>
    <row r="147" spans="2:25" s="55" customFormat="1" ht="51">
      <c r="B147" s="52" t="s">
        <v>1642</v>
      </c>
      <c r="C147" s="78" t="s">
        <v>246</v>
      </c>
      <c r="D147" s="128" t="s">
        <v>2326</v>
      </c>
      <c r="E147" s="56" t="s">
        <v>89</v>
      </c>
      <c r="F147" s="56" t="s">
        <v>89</v>
      </c>
      <c r="G147" s="56"/>
      <c r="H147" s="52" t="s">
        <v>243</v>
      </c>
      <c r="I147" s="52">
        <v>10</v>
      </c>
      <c r="J147" s="52">
        <v>590000000</v>
      </c>
      <c r="K147" s="53" t="s">
        <v>103</v>
      </c>
      <c r="L147" s="52" t="s">
        <v>1502</v>
      </c>
      <c r="M147" s="53" t="s">
        <v>103</v>
      </c>
      <c r="N147" s="52" t="s">
        <v>241</v>
      </c>
      <c r="O147" s="52" t="s">
        <v>2476</v>
      </c>
      <c r="P147" s="53" t="s">
        <v>1524</v>
      </c>
      <c r="Q147" s="52">
        <v>796</v>
      </c>
      <c r="R147" s="52" t="s">
        <v>1818</v>
      </c>
      <c r="S147" s="54">
        <v>1</v>
      </c>
      <c r="T147" s="54">
        <f t="shared" si="17"/>
        <v>65789.473684210534</v>
      </c>
      <c r="U147" s="54">
        <f t="shared" si="16"/>
        <v>66964.28571428571</v>
      </c>
      <c r="V147" s="54">
        <v>75000</v>
      </c>
      <c r="W147" s="52"/>
      <c r="X147" s="52">
        <v>2012</v>
      </c>
      <c r="Y147" s="52"/>
    </row>
    <row r="148" spans="2:25" s="55" customFormat="1" ht="51">
      <c r="B148" s="52" t="s">
        <v>911</v>
      </c>
      <c r="C148" s="78" t="s">
        <v>246</v>
      </c>
      <c r="D148" s="58" t="s">
        <v>249</v>
      </c>
      <c r="E148" s="56" t="s">
        <v>1882</v>
      </c>
      <c r="F148" s="56" t="s">
        <v>1882</v>
      </c>
      <c r="G148" s="56"/>
      <c r="H148" s="52" t="s">
        <v>243</v>
      </c>
      <c r="I148" s="52">
        <v>10</v>
      </c>
      <c r="J148" s="52">
        <v>590000000</v>
      </c>
      <c r="K148" s="53" t="s">
        <v>103</v>
      </c>
      <c r="L148" s="52" t="s">
        <v>1502</v>
      </c>
      <c r="M148" s="53" t="s">
        <v>103</v>
      </c>
      <c r="N148" s="52" t="s">
        <v>241</v>
      </c>
      <c r="O148" s="52" t="s">
        <v>2476</v>
      </c>
      <c r="P148" s="53" t="s">
        <v>1524</v>
      </c>
      <c r="Q148" s="52">
        <v>796</v>
      </c>
      <c r="R148" s="52" t="s">
        <v>1818</v>
      </c>
      <c r="S148" s="54">
        <v>2</v>
      </c>
      <c r="T148" s="54">
        <f t="shared" si="17"/>
        <v>37631.57894736842</v>
      </c>
      <c r="U148" s="54">
        <f t="shared" si="16"/>
        <v>76607.142857142855</v>
      </c>
      <c r="V148" s="54">
        <v>85800</v>
      </c>
      <c r="W148" s="52"/>
      <c r="X148" s="52">
        <v>2012</v>
      </c>
      <c r="Y148" s="52"/>
    </row>
    <row r="149" spans="2:25" s="55" customFormat="1" ht="51">
      <c r="B149" s="52" t="s">
        <v>912</v>
      </c>
      <c r="C149" s="78" t="s">
        <v>246</v>
      </c>
      <c r="D149" s="58" t="s">
        <v>1963</v>
      </c>
      <c r="E149" s="56" t="s">
        <v>1883</v>
      </c>
      <c r="F149" s="56" t="s">
        <v>1883</v>
      </c>
      <c r="G149" s="56"/>
      <c r="H149" s="52" t="s">
        <v>243</v>
      </c>
      <c r="I149" s="52">
        <v>50</v>
      </c>
      <c r="J149" s="52">
        <v>590000000</v>
      </c>
      <c r="K149" s="53" t="s">
        <v>103</v>
      </c>
      <c r="L149" s="52" t="s">
        <v>1502</v>
      </c>
      <c r="M149" s="53" t="s">
        <v>103</v>
      </c>
      <c r="N149" s="52" t="s">
        <v>241</v>
      </c>
      <c r="O149" s="52" t="s">
        <v>2476</v>
      </c>
      <c r="P149" s="53" t="s">
        <v>1524</v>
      </c>
      <c r="Q149" s="52">
        <v>796</v>
      </c>
      <c r="R149" s="52" t="s">
        <v>1818</v>
      </c>
      <c r="S149" s="54">
        <v>1</v>
      </c>
      <c r="T149" s="54">
        <f t="shared" si="17"/>
        <v>5701.7543859649122</v>
      </c>
      <c r="U149" s="54">
        <f t="shared" si="16"/>
        <v>5803.5714285714284</v>
      </c>
      <c r="V149" s="54">
        <v>6500</v>
      </c>
      <c r="W149" s="52"/>
      <c r="X149" s="52">
        <v>2012</v>
      </c>
      <c r="Y149" s="52"/>
    </row>
    <row r="150" spans="2:25" s="55" customFormat="1" ht="51">
      <c r="B150" s="52" t="s">
        <v>913</v>
      </c>
      <c r="C150" s="78" t="s">
        <v>246</v>
      </c>
      <c r="D150" s="58" t="s">
        <v>1964</v>
      </c>
      <c r="E150" s="56" t="s">
        <v>1873</v>
      </c>
      <c r="F150" s="56" t="s">
        <v>1873</v>
      </c>
      <c r="G150" s="56"/>
      <c r="H150" s="52" t="s">
        <v>243</v>
      </c>
      <c r="I150" s="52">
        <v>50</v>
      </c>
      <c r="J150" s="52">
        <v>590000000</v>
      </c>
      <c r="K150" s="53" t="s">
        <v>103</v>
      </c>
      <c r="L150" s="52" t="s">
        <v>1502</v>
      </c>
      <c r="M150" s="53" t="s">
        <v>103</v>
      </c>
      <c r="N150" s="52" t="s">
        <v>241</v>
      </c>
      <c r="O150" s="52" t="s">
        <v>2476</v>
      </c>
      <c r="P150" s="53" t="s">
        <v>1524</v>
      </c>
      <c r="Q150" s="52">
        <v>796</v>
      </c>
      <c r="R150" s="52" t="s">
        <v>1818</v>
      </c>
      <c r="S150" s="54">
        <v>1</v>
      </c>
      <c r="T150" s="54">
        <f t="shared" si="17"/>
        <v>66578.947368421053</v>
      </c>
      <c r="U150" s="54">
        <f t="shared" si="16"/>
        <v>67767.857142857145</v>
      </c>
      <c r="V150" s="54">
        <v>75900</v>
      </c>
      <c r="W150" s="52"/>
      <c r="X150" s="52">
        <v>2012</v>
      </c>
      <c r="Y150" s="52"/>
    </row>
    <row r="151" spans="2:25" s="55" customFormat="1" ht="114.75">
      <c r="B151" s="52" t="s">
        <v>914</v>
      </c>
      <c r="C151" s="78" t="s">
        <v>246</v>
      </c>
      <c r="D151" s="58" t="s">
        <v>1964</v>
      </c>
      <c r="E151" s="56" t="s">
        <v>1822</v>
      </c>
      <c r="F151" s="56" t="s">
        <v>1822</v>
      </c>
      <c r="G151" s="56"/>
      <c r="H151" s="52" t="s">
        <v>243</v>
      </c>
      <c r="I151" s="52">
        <v>50</v>
      </c>
      <c r="J151" s="52">
        <v>110000000</v>
      </c>
      <c r="K151" s="53" t="s">
        <v>93</v>
      </c>
      <c r="L151" s="52" t="s">
        <v>1503</v>
      </c>
      <c r="M151" s="56" t="s">
        <v>125</v>
      </c>
      <c r="N151" s="52" t="s">
        <v>241</v>
      </c>
      <c r="O151" s="52" t="s">
        <v>1471</v>
      </c>
      <c r="P151" s="53" t="s">
        <v>344</v>
      </c>
      <c r="Q151" s="52">
        <v>796</v>
      </c>
      <c r="R151" s="52" t="s">
        <v>1818</v>
      </c>
      <c r="S151" s="54">
        <v>2</v>
      </c>
      <c r="T151" s="54">
        <f t="shared" si="15"/>
        <v>8822.8070175438606</v>
      </c>
      <c r="U151" s="54">
        <f t="shared" si="16"/>
        <v>17960.714285714286</v>
      </c>
      <c r="V151" s="54">
        <v>20116</v>
      </c>
      <c r="W151" s="52"/>
      <c r="X151" s="52">
        <v>2012</v>
      </c>
      <c r="Y151" s="52"/>
    </row>
    <row r="152" spans="2:25" s="55" customFormat="1" ht="114.75">
      <c r="B152" s="52" t="s">
        <v>915</v>
      </c>
      <c r="C152" s="78" t="s">
        <v>246</v>
      </c>
      <c r="D152" s="58" t="s">
        <v>1964</v>
      </c>
      <c r="E152" s="56" t="s">
        <v>1853</v>
      </c>
      <c r="F152" s="67" t="s">
        <v>1549</v>
      </c>
      <c r="G152" s="67"/>
      <c r="H152" s="52" t="s">
        <v>243</v>
      </c>
      <c r="I152" s="52">
        <v>50</v>
      </c>
      <c r="J152" s="52">
        <v>110000000</v>
      </c>
      <c r="K152" s="53" t="s">
        <v>93</v>
      </c>
      <c r="L152" s="52" t="s">
        <v>1503</v>
      </c>
      <c r="M152" s="56" t="s">
        <v>125</v>
      </c>
      <c r="N152" s="52" t="s">
        <v>241</v>
      </c>
      <c r="O152" s="52" t="s">
        <v>1471</v>
      </c>
      <c r="P152" s="53" t="s">
        <v>344</v>
      </c>
      <c r="Q152" s="52">
        <v>796</v>
      </c>
      <c r="R152" s="52" t="s">
        <v>1818</v>
      </c>
      <c r="S152" s="54">
        <v>4</v>
      </c>
      <c r="T152" s="54">
        <f t="shared" si="15"/>
        <v>3378.9473684210529</v>
      </c>
      <c r="U152" s="54">
        <f t="shared" si="16"/>
        <v>13757.142857142859</v>
      </c>
      <c r="V152" s="54">
        <v>15408</v>
      </c>
      <c r="W152" s="52"/>
      <c r="X152" s="52">
        <v>2012</v>
      </c>
      <c r="Y152" s="52"/>
    </row>
    <row r="153" spans="2:25" s="55" customFormat="1" ht="114.75">
      <c r="B153" s="52" t="s">
        <v>916</v>
      </c>
      <c r="C153" s="78" t="s">
        <v>246</v>
      </c>
      <c r="D153" s="52" t="s">
        <v>2057</v>
      </c>
      <c r="E153" s="56" t="s">
        <v>92</v>
      </c>
      <c r="F153" s="56" t="s">
        <v>92</v>
      </c>
      <c r="G153" s="56"/>
      <c r="H153" s="52" t="s">
        <v>243</v>
      </c>
      <c r="I153" s="52">
        <v>50</v>
      </c>
      <c r="J153" s="52">
        <v>110000000</v>
      </c>
      <c r="K153" s="53" t="s">
        <v>93</v>
      </c>
      <c r="L153" s="52" t="s">
        <v>1471</v>
      </c>
      <c r="M153" s="56" t="s">
        <v>125</v>
      </c>
      <c r="N153" s="52" t="s">
        <v>241</v>
      </c>
      <c r="O153" s="52" t="s">
        <v>1548</v>
      </c>
      <c r="P153" s="53" t="s">
        <v>344</v>
      </c>
      <c r="Q153" s="52">
        <v>796</v>
      </c>
      <c r="R153" s="52" t="s">
        <v>1818</v>
      </c>
      <c r="S153" s="54">
        <v>1</v>
      </c>
      <c r="T153" s="54">
        <f t="shared" si="15"/>
        <v>37074.561403508771</v>
      </c>
      <c r="U153" s="54">
        <f t="shared" si="16"/>
        <v>37736.607142857145</v>
      </c>
      <c r="V153" s="54">
        <v>42265</v>
      </c>
      <c r="W153" s="52"/>
      <c r="X153" s="52">
        <v>2012</v>
      </c>
      <c r="Y153" s="52"/>
    </row>
    <row r="154" spans="2:25" s="55" customFormat="1" ht="114.75">
      <c r="B154" s="52" t="s">
        <v>1643</v>
      </c>
      <c r="C154" s="78" t="s">
        <v>246</v>
      </c>
      <c r="D154" s="128" t="s">
        <v>2326</v>
      </c>
      <c r="E154" s="56" t="s">
        <v>89</v>
      </c>
      <c r="F154" s="56" t="s">
        <v>89</v>
      </c>
      <c r="G154" s="56"/>
      <c r="H154" s="52" t="s">
        <v>243</v>
      </c>
      <c r="I154" s="52">
        <v>50</v>
      </c>
      <c r="J154" s="52">
        <v>110000000</v>
      </c>
      <c r="K154" s="53" t="s">
        <v>93</v>
      </c>
      <c r="L154" s="52" t="s">
        <v>1548</v>
      </c>
      <c r="M154" s="56" t="s">
        <v>125</v>
      </c>
      <c r="N154" s="52" t="s">
        <v>241</v>
      </c>
      <c r="O154" s="52" t="s">
        <v>1548</v>
      </c>
      <c r="P154" s="53" t="s">
        <v>344</v>
      </c>
      <c r="Q154" s="52">
        <v>796</v>
      </c>
      <c r="R154" s="52" t="s">
        <v>1818</v>
      </c>
      <c r="S154" s="54">
        <v>2</v>
      </c>
      <c r="T154" s="54">
        <f t="shared" si="15"/>
        <v>23464.912280701752</v>
      </c>
      <c r="U154" s="54">
        <f t="shared" si="16"/>
        <v>47767.857142857145</v>
      </c>
      <c r="V154" s="54">
        <v>53500</v>
      </c>
      <c r="W154" s="52"/>
      <c r="X154" s="52">
        <v>2012</v>
      </c>
      <c r="Y154" s="52"/>
    </row>
    <row r="155" spans="2:25" s="55" customFormat="1" ht="114.75">
      <c r="B155" s="52" t="s">
        <v>1644</v>
      </c>
      <c r="C155" s="78" t="s">
        <v>246</v>
      </c>
      <c r="D155" s="58" t="s">
        <v>1963</v>
      </c>
      <c r="E155" s="56" t="s">
        <v>1545</v>
      </c>
      <c r="F155" s="56" t="s">
        <v>1545</v>
      </c>
      <c r="G155" s="56"/>
      <c r="H155" s="52" t="s">
        <v>243</v>
      </c>
      <c r="I155" s="52">
        <v>50</v>
      </c>
      <c r="J155" s="52">
        <v>711000000</v>
      </c>
      <c r="K155" s="53" t="s">
        <v>1816</v>
      </c>
      <c r="L155" s="52" t="s">
        <v>1548</v>
      </c>
      <c r="M155" s="53" t="s">
        <v>1816</v>
      </c>
      <c r="N155" s="52" t="s">
        <v>241</v>
      </c>
      <c r="O155" s="52" t="s">
        <v>1548</v>
      </c>
      <c r="P155" s="53" t="s">
        <v>344</v>
      </c>
      <c r="Q155" s="52">
        <v>796</v>
      </c>
      <c r="R155" s="52" t="s">
        <v>1818</v>
      </c>
      <c r="S155" s="54">
        <v>10</v>
      </c>
      <c r="T155" s="54">
        <f t="shared" si="15"/>
        <v>6140.3508771929819</v>
      </c>
      <c r="U155" s="54">
        <f t="shared" si="16"/>
        <v>62500</v>
      </c>
      <c r="V155" s="54">
        <v>70000</v>
      </c>
      <c r="W155" s="52"/>
      <c r="X155" s="52">
        <v>2012</v>
      </c>
      <c r="Y155" s="52"/>
    </row>
    <row r="156" spans="2:25" s="55" customFormat="1" ht="114.75">
      <c r="B156" s="52" t="s">
        <v>1645</v>
      </c>
      <c r="C156" s="78" t="s">
        <v>246</v>
      </c>
      <c r="D156" s="58" t="s">
        <v>1963</v>
      </c>
      <c r="E156" s="56" t="s">
        <v>94</v>
      </c>
      <c r="F156" s="56" t="s">
        <v>94</v>
      </c>
      <c r="G156" s="56"/>
      <c r="H156" s="52" t="s">
        <v>243</v>
      </c>
      <c r="I156" s="52">
        <v>10</v>
      </c>
      <c r="J156" s="52">
        <v>711000000</v>
      </c>
      <c r="K156" s="53" t="s">
        <v>1816</v>
      </c>
      <c r="L156" s="56" t="s">
        <v>1471</v>
      </c>
      <c r="M156" s="53" t="s">
        <v>1816</v>
      </c>
      <c r="N156" s="52" t="s">
        <v>241</v>
      </c>
      <c r="O156" s="52" t="s">
        <v>1471</v>
      </c>
      <c r="P156" s="53" t="s">
        <v>344</v>
      </c>
      <c r="Q156" s="52">
        <v>796</v>
      </c>
      <c r="R156" s="52" t="s">
        <v>1818</v>
      </c>
      <c r="S156" s="54">
        <v>8</v>
      </c>
      <c r="T156" s="54">
        <f t="shared" si="15"/>
        <v>17543.859649122809</v>
      </c>
      <c r="U156" s="54">
        <f t="shared" si="16"/>
        <v>142857.14285714287</v>
      </c>
      <c r="V156" s="54">
        <v>160000</v>
      </c>
      <c r="W156" s="52"/>
      <c r="X156" s="52">
        <v>2012</v>
      </c>
      <c r="Y156" s="52"/>
    </row>
    <row r="157" spans="2:25" s="55" customFormat="1" ht="114.75">
      <c r="B157" s="52" t="s">
        <v>917</v>
      </c>
      <c r="C157" s="78" t="s">
        <v>246</v>
      </c>
      <c r="D157" s="58" t="s">
        <v>1963</v>
      </c>
      <c r="E157" s="56" t="s">
        <v>1869</v>
      </c>
      <c r="F157" s="56" t="s">
        <v>1869</v>
      </c>
      <c r="G157" s="56"/>
      <c r="H157" s="52" t="s">
        <v>243</v>
      </c>
      <c r="I157" s="52">
        <v>50</v>
      </c>
      <c r="J157" s="52">
        <v>711000000</v>
      </c>
      <c r="K157" s="53" t="s">
        <v>1816</v>
      </c>
      <c r="L157" s="52" t="s">
        <v>1471</v>
      </c>
      <c r="M157" s="53" t="s">
        <v>1816</v>
      </c>
      <c r="N157" s="52" t="s">
        <v>241</v>
      </c>
      <c r="O157" s="52" t="s">
        <v>1548</v>
      </c>
      <c r="P157" s="53" t="s">
        <v>344</v>
      </c>
      <c r="Q157" s="52">
        <v>839</v>
      </c>
      <c r="R157" s="52" t="s">
        <v>1818</v>
      </c>
      <c r="S157" s="54">
        <v>4</v>
      </c>
      <c r="T157" s="54">
        <f t="shared" si="15"/>
        <v>21929.824561403511</v>
      </c>
      <c r="U157" s="54">
        <f t="shared" si="16"/>
        <v>89285.71428571429</v>
      </c>
      <c r="V157" s="54">
        <v>100000</v>
      </c>
      <c r="W157" s="52"/>
      <c r="X157" s="52">
        <v>2012</v>
      </c>
      <c r="Y157" s="52"/>
    </row>
    <row r="158" spans="2:25" s="55" customFormat="1" ht="114.75">
      <c r="B158" s="52" t="s">
        <v>918</v>
      </c>
      <c r="C158" s="78" t="s">
        <v>246</v>
      </c>
      <c r="D158" s="58" t="s">
        <v>1963</v>
      </c>
      <c r="E158" s="56" t="s">
        <v>99</v>
      </c>
      <c r="F158" s="56" t="s">
        <v>99</v>
      </c>
      <c r="G158" s="56"/>
      <c r="H158" s="52" t="s">
        <v>243</v>
      </c>
      <c r="I158" s="52">
        <v>50</v>
      </c>
      <c r="J158" s="52">
        <v>711000000</v>
      </c>
      <c r="K158" s="53" t="s">
        <v>1816</v>
      </c>
      <c r="L158" s="52" t="s">
        <v>1471</v>
      </c>
      <c r="M158" s="53" t="s">
        <v>1816</v>
      </c>
      <c r="N158" s="52" t="s">
        <v>241</v>
      </c>
      <c r="O158" s="52" t="s">
        <v>1548</v>
      </c>
      <c r="P158" s="53" t="s">
        <v>344</v>
      </c>
      <c r="Q158" s="52">
        <v>796</v>
      </c>
      <c r="R158" s="52" t="s">
        <v>1818</v>
      </c>
      <c r="S158" s="54">
        <v>16</v>
      </c>
      <c r="T158" s="54">
        <f t="shared" si="15"/>
        <v>15789.473684210527</v>
      </c>
      <c r="U158" s="54">
        <f t="shared" si="16"/>
        <v>257142.85714285716</v>
      </c>
      <c r="V158" s="54">
        <v>288000</v>
      </c>
      <c r="W158" s="52"/>
      <c r="X158" s="52">
        <v>2012</v>
      </c>
      <c r="Y158" s="52"/>
    </row>
    <row r="159" spans="2:25" s="55" customFormat="1" ht="114.75">
      <c r="B159" s="52" t="s">
        <v>919</v>
      </c>
      <c r="C159" s="78" t="s">
        <v>246</v>
      </c>
      <c r="D159" s="58" t="s">
        <v>1964</v>
      </c>
      <c r="E159" s="56" t="s">
        <v>95</v>
      </c>
      <c r="F159" s="56" t="s">
        <v>95</v>
      </c>
      <c r="G159" s="56"/>
      <c r="H159" s="52" t="s">
        <v>243</v>
      </c>
      <c r="I159" s="52">
        <v>50</v>
      </c>
      <c r="J159" s="52">
        <v>711000000</v>
      </c>
      <c r="K159" s="53" t="s">
        <v>1816</v>
      </c>
      <c r="L159" s="52" t="s">
        <v>1471</v>
      </c>
      <c r="M159" s="53" t="s">
        <v>1816</v>
      </c>
      <c r="N159" s="52" t="s">
        <v>241</v>
      </c>
      <c r="O159" s="52" t="s">
        <v>1548</v>
      </c>
      <c r="P159" s="53" t="s">
        <v>344</v>
      </c>
      <c r="Q159" s="52">
        <v>796</v>
      </c>
      <c r="R159" s="52" t="s">
        <v>1818</v>
      </c>
      <c r="S159" s="54">
        <v>2</v>
      </c>
      <c r="T159" s="54">
        <f t="shared" si="15"/>
        <v>39473.68421052632</v>
      </c>
      <c r="U159" s="54">
        <f t="shared" si="16"/>
        <v>80357.142857142855</v>
      </c>
      <c r="V159" s="54">
        <v>90000</v>
      </c>
      <c r="W159" s="52"/>
      <c r="X159" s="52">
        <v>2012</v>
      </c>
      <c r="Y159" s="52"/>
    </row>
    <row r="160" spans="2:25" s="55" customFormat="1" ht="114.75">
      <c r="B160" s="52" t="s">
        <v>920</v>
      </c>
      <c r="C160" s="78" t="s">
        <v>246</v>
      </c>
      <c r="D160" s="58" t="s">
        <v>1964</v>
      </c>
      <c r="E160" s="56" t="s">
        <v>1822</v>
      </c>
      <c r="F160" s="56" t="s">
        <v>1822</v>
      </c>
      <c r="G160" s="56"/>
      <c r="H160" s="52" t="s">
        <v>243</v>
      </c>
      <c r="I160" s="52">
        <v>50</v>
      </c>
      <c r="J160" s="52">
        <v>711000000</v>
      </c>
      <c r="K160" s="53" t="s">
        <v>1816</v>
      </c>
      <c r="L160" s="52" t="s">
        <v>1471</v>
      </c>
      <c r="M160" s="53" t="s">
        <v>1816</v>
      </c>
      <c r="N160" s="52" t="s">
        <v>241</v>
      </c>
      <c r="O160" s="52" t="s">
        <v>1548</v>
      </c>
      <c r="P160" s="53" t="s">
        <v>344</v>
      </c>
      <c r="Q160" s="52">
        <v>796</v>
      </c>
      <c r="R160" s="52" t="s">
        <v>1818</v>
      </c>
      <c r="S160" s="54">
        <v>16</v>
      </c>
      <c r="T160" s="54">
        <f t="shared" si="15"/>
        <v>9122.8070175438606</v>
      </c>
      <c r="U160" s="54">
        <f t="shared" si="16"/>
        <v>148571.42857142858</v>
      </c>
      <c r="V160" s="54">
        <v>166400</v>
      </c>
      <c r="W160" s="52"/>
      <c r="X160" s="52">
        <v>2012</v>
      </c>
      <c r="Y160" s="52"/>
    </row>
    <row r="161" spans="2:25" s="55" customFormat="1" ht="114.75">
      <c r="B161" s="52" t="s">
        <v>921</v>
      </c>
      <c r="C161" s="78" t="s">
        <v>246</v>
      </c>
      <c r="D161" s="58" t="s">
        <v>1963</v>
      </c>
      <c r="E161" s="56" t="s">
        <v>1870</v>
      </c>
      <c r="F161" s="56" t="s">
        <v>1870</v>
      </c>
      <c r="G161" s="56"/>
      <c r="H161" s="52" t="s">
        <v>243</v>
      </c>
      <c r="I161" s="52">
        <v>50</v>
      </c>
      <c r="J161" s="52">
        <v>711000000</v>
      </c>
      <c r="K161" s="53" t="s">
        <v>1816</v>
      </c>
      <c r="L161" s="52" t="s">
        <v>1471</v>
      </c>
      <c r="M161" s="53" t="s">
        <v>1816</v>
      </c>
      <c r="N161" s="52" t="s">
        <v>241</v>
      </c>
      <c r="O161" s="52" t="s">
        <v>1548</v>
      </c>
      <c r="P161" s="53" t="s">
        <v>344</v>
      </c>
      <c r="Q161" s="52">
        <v>796</v>
      </c>
      <c r="R161" s="52" t="s">
        <v>1818</v>
      </c>
      <c r="S161" s="54">
        <v>1</v>
      </c>
      <c r="T161" s="54">
        <f t="shared" si="15"/>
        <v>131578.94736842107</v>
      </c>
      <c r="U161" s="54">
        <f t="shared" si="16"/>
        <v>133928.57142857142</v>
      </c>
      <c r="V161" s="54">
        <v>150000</v>
      </c>
      <c r="W161" s="52"/>
      <c r="X161" s="52">
        <v>2012</v>
      </c>
      <c r="Y161" s="52"/>
    </row>
    <row r="162" spans="2:25" s="55" customFormat="1" ht="114.75">
      <c r="B162" s="52" t="s">
        <v>922</v>
      </c>
      <c r="C162" s="78" t="s">
        <v>246</v>
      </c>
      <c r="D162" s="58" t="s">
        <v>1963</v>
      </c>
      <c r="E162" s="56" t="s">
        <v>1545</v>
      </c>
      <c r="F162" s="56" t="s">
        <v>1545</v>
      </c>
      <c r="G162" s="56"/>
      <c r="H162" s="52" t="s">
        <v>243</v>
      </c>
      <c r="I162" s="52">
        <v>50</v>
      </c>
      <c r="J162" s="52">
        <v>470000000</v>
      </c>
      <c r="K162" s="53" t="s">
        <v>105</v>
      </c>
      <c r="L162" s="52" t="s">
        <v>1471</v>
      </c>
      <c r="M162" s="53" t="s">
        <v>105</v>
      </c>
      <c r="N162" s="52" t="s">
        <v>241</v>
      </c>
      <c r="O162" s="52" t="s">
        <v>1548</v>
      </c>
      <c r="P162" s="53" t="s">
        <v>344</v>
      </c>
      <c r="Q162" s="52">
        <v>796</v>
      </c>
      <c r="R162" s="52" t="s">
        <v>1818</v>
      </c>
      <c r="S162" s="54">
        <v>6</v>
      </c>
      <c r="T162" s="54">
        <f t="shared" si="15"/>
        <v>7368.4210526315792</v>
      </c>
      <c r="U162" s="54">
        <f t="shared" si="16"/>
        <v>45000</v>
      </c>
      <c r="V162" s="54">
        <v>50400</v>
      </c>
      <c r="W162" s="52"/>
      <c r="X162" s="52">
        <v>2012</v>
      </c>
      <c r="Y162" s="52"/>
    </row>
    <row r="163" spans="2:25" s="55" customFormat="1" ht="114.75">
      <c r="B163" s="52" t="s">
        <v>923</v>
      </c>
      <c r="C163" s="78" t="s">
        <v>246</v>
      </c>
      <c r="D163" s="58" t="s">
        <v>1963</v>
      </c>
      <c r="E163" s="56" t="s">
        <v>94</v>
      </c>
      <c r="F163" s="56" t="s">
        <v>94</v>
      </c>
      <c r="G163" s="56"/>
      <c r="H163" s="52" t="s">
        <v>243</v>
      </c>
      <c r="I163" s="52">
        <v>50</v>
      </c>
      <c r="J163" s="52">
        <v>470000000</v>
      </c>
      <c r="K163" s="53" t="s">
        <v>105</v>
      </c>
      <c r="L163" s="52" t="s">
        <v>1471</v>
      </c>
      <c r="M163" s="53" t="s">
        <v>105</v>
      </c>
      <c r="N163" s="52" t="s">
        <v>241</v>
      </c>
      <c r="O163" s="52" t="s">
        <v>1548</v>
      </c>
      <c r="P163" s="53" t="s">
        <v>344</v>
      </c>
      <c r="Q163" s="52">
        <v>796</v>
      </c>
      <c r="R163" s="52" t="s">
        <v>1818</v>
      </c>
      <c r="S163" s="54">
        <v>1</v>
      </c>
      <c r="T163" s="54">
        <f t="shared" si="15"/>
        <v>28070.175438596492</v>
      </c>
      <c r="U163" s="54">
        <f t="shared" si="16"/>
        <v>28571.428571428572</v>
      </c>
      <c r="V163" s="54">
        <v>32000</v>
      </c>
      <c r="W163" s="52"/>
      <c r="X163" s="52">
        <v>2012</v>
      </c>
      <c r="Y163" s="52"/>
    </row>
    <row r="164" spans="2:25" s="55" customFormat="1" ht="114.75">
      <c r="B164" s="52" t="s">
        <v>924</v>
      </c>
      <c r="C164" s="78" t="s">
        <v>246</v>
      </c>
      <c r="D164" s="58" t="s">
        <v>1963</v>
      </c>
      <c r="E164" s="56" t="s">
        <v>1869</v>
      </c>
      <c r="F164" s="56" t="s">
        <v>1869</v>
      </c>
      <c r="G164" s="56"/>
      <c r="H164" s="52" t="s">
        <v>243</v>
      </c>
      <c r="I164" s="52">
        <v>50</v>
      </c>
      <c r="J164" s="52">
        <v>470000000</v>
      </c>
      <c r="K164" s="53" t="s">
        <v>105</v>
      </c>
      <c r="L164" s="52" t="s">
        <v>1471</v>
      </c>
      <c r="M164" s="53" t="s">
        <v>105</v>
      </c>
      <c r="N164" s="52" t="s">
        <v>241</v>
      </c>
      <c r="O164" s="52" t="s">
        <v>1548</v>
      </c>
      <c r="P164" s="53" t="s">
        <v>344</v>
      </c>
      <c r="Q164" s="52">
        <v>796</v>
      </c>
      <c r="R164" s="52" t="s">
        <v>1818</v>
      </c>
      <c r="S164" s="54">
        <v>2</v>
      </c>
      <c r="T164" s="54">
        <f t="shared" si="15"/>
        <v>20614.035087719298</v>
      </c>
      <c r="U164" s="54">
        <f t="shared" si="16"/>
        <v>41964.285714285717</v>
      </c>
      <c r="V164" s="54">
        <v>47000</v>
      </c>
      <c r="W164" s="52"/>
      <c r="X164" s="52">
        <v>2012</v>
      </c>
      <c r="Y164" s="52"/>
    </row>
    <row r="165" spans="2:25" s="55" customFormat="1" ht="114.75">
      <c r="B165" s="52" t="s">
        <v>925</v>
      </c>
      <c r="C165" s="78" t="s">
        <v>246</v>
      </c>
      <c r="D165" s="58" t="s">
        <v>249</v>
      </c>
      <c r="E165" s="56" t="s">
        <v>1852</v>
      </c>
      <c r="F165" s="56" t="s">
        <v>1852</v>
      </c>
      <c r="G165" s="56"/>
      <c r="H165" s="52" t="s">
        <v>243</v>
      </c>
      <c r="I165" s="52">
        <v>50</v>
      </c>
      <c r="J165" s="52">
        <v>470000000</v>
      </c>
      <c r="K165" s="53" t="s">
        <v>105</v>
      </c>
      <c r="L165" s="52" t="s">
        <v>1471</v>
      </c>
      <c r="M165" s="53" t="s">
        <v>105</v>
      </c>
      <c r="N165" s="52" t="s">
        <v>241</v>
      </c>
      <c r="O165" s="52" t="s">
        <v>1548</v>
      </c>
      <c r="P165" s="53" t="s">
        <v>344</v>
      </c>
      <c r="Q165" s="52">
        <v>796</v>
      </c>
      <c r="R165" s="52" t="s">
        <v>1818</v>
      </c>
      <c r="S165" s="54">
        <v>1</v>
      </c>
      <c r="T165" s="54">
        <f t="shared" si="15"/>
        <v>45175.438596491229</v>
      </c>
      <c r="U165" s="54">
        <f t="shared" si="16"/>
        <v>45982.142857142855</v>
      </c>
      <c r="V165" s="54">
        <v>51500</v>
      </c>
      <c r="W165" s="52"/>
      <c r="X165" s="52">
        <v>2012</v>
      </c>
      <c r="Y165" s="52"/>
    </row>
    <row r="166" spans="2:25" s="55" customFormat="1" ht="114.75">
      <c r="B166" s="52" t="s">
        <v>926</v>
      </c>
      <c r="C166" s="78" t="s">
        <v>246</v>
      </c>
      <c r="D166" s="58" t="s">
        <v>1963</v>
      </c>
      <c r="E166" s="56" t="s">
        <v>99</v>
      </c>
      <c r="F166" s="56" t="s">
        <v>99</v>
      </c>
      <c r="G166" s="56"/>
      <c r="H166" s="52" t="s">
        <v>243</v>
      </c>
      <c r="I166" s="52">
        <v>50</v>
      </c>
      <c r="J166" s="52">
        <v>470000000</v>
      </c>
      <c r="K166" s="53" t="s">
        <v>105</v>
      </c>
      <c r="L166" s="52" t="s">
        <v>1471</v>
      </c>
      <c r="M166" s="53" t="s">
        <v>105</v>
      </c>
      <c r="N166" s="52" t="s">
        <v>241</v>
      </c>
      <c r="O166" s="52" t="s">
        <v>1548</v>
      </c>
      <c r="P166" s="53" t="s">
        <v>344</v>
      </c>
      <c r="Q166" s="52">
        <v>796</v>
      </c>
      <c r="R166" s="52" t="s">
        <v>1818</v>
      </c>
      <c r="S166" s="54">
        <v>2</v>
      </c>
      <c r="T166" s="54">
        <f t="shared" si="15"/>
        <v>23684.21052631579</v>
      </c>
      <c r="U166" s="54">
        <f t="shared" si="16"/>
        <v>48214.285714285717</v>
      </c>
      <c r="V166" s="54">
        <v>54000</v>
      </c>
      <c r="W166" s="52"/>
      <c r="X166" s="52">
        <v>2012</v>
      </c>
      <c r="Y166" s="52"/>
    </row>
    <row r="167" spans="2:25" s="55" customFormat="1" ht="114.75">
      <c r="B167" s="52" t="s">
        <v>927</v>
      </c>
      <c r="C167" s="78" t="s">
        <v>246</v>
      </c>
      <c r="D167" s="52" t="s">
        <v>2057</v>
      </c>
      <c r="E167" s="56" t="s">
        <v>92</v>
      </c>
      <c r="F167" s="56" t="s">
        <v>92</v>
      </c>
      <c r="G167" s="56"/>
      <c r="H167" s="52" t="s">
        <v>243</v>
      </c>
      <c r="I167" s="52">
        <v>0</v>
      </c>
      <c r="J167" s="52">
        <v>470000000</v>
      </c>
      <c r="K167" s="53" t="s">
        <v>105</v>
      </c>
      <c r="L167" s="52" t="s">
        <v>1471</v>
      </c>
      <c r="M167" s="53" t="s">
        <v>105</v>
      </c>
      <c r="N167" s="52" t="s">
        <v>241</v>
      </c>
      <c r="O167" s="52" t="s">
        <v>1548</v>
      </c>
      <c r="P167" s="53" t="s">
        <v>344</v>
      </c>
      <c r="Q167" s="52">
        <v>796</v>
      </c>
      <c r="R167" s="52" t="s">
        <v>1818</v>
      </c>
      <c r="S167" s="54">
        <v>2</v>
      </c>
      <c r="T167" s="54">
        <f t="shared" si="15"/>
        <v>60526.315789473687</v>
      </c>
      <c r="U167" s="54">
        <f t="shared" si="16"/>
        <v>123214.28571428571</v>
      </c>
      <c r="V167" s="54">
        <v>138000</v>
      </c>
      <c r="W167" s="52"/>
      <c r="X167" s="52">
        <v>2012</v>
      </c>
      <c r="Y167" s="52"/>
    </row>
    <row r="168" spans="2:25" s="55" customFormat="1" ht="114.75">
      <c r="B168" s="52" t="s">
        <v>928</v>
      </c>
      <c r="C168" s="78" t="s">
        <v>246</v>
      </c>
      <c r="D168" s="128" t="s">
        <v>2326</v>
      </c>
      <c r="E168" s="56" t="s">
        <v>89</v>
      </c>
      <c r="F168" s="56" t="s">
        <v>89</v>
      </c>
      <c r="G168" s="56"/>
      <c r="H168" s="52" t="s">
        <v>243</v>
      </c>
      <c r="I168" s="52">
        <v>0</v>
      </c>
      <c r="J168" s="52">
        <v>470000000</v>
      </c>
      <c r="K168" s="53" t="s">
        <v>105</v>
      </c>
      <c r="L168" s="52" t="s">
        <v>1471</v>
      </c>
      <c r="M168" s="53" t="s">
        <v>105</v>
      </c>
      <c r="N168" s="52" t="s">
        <v>241</v>
      </c>
      <c r="O168" s="52" t="s">
        <v>1548</v>
      </c>
      <c r="P168" s="53" t="s">
        <v>344</v>
      </c>
      <c r="Q168" s="52">
        <v>797</v>
      </c>
      <c r="R168" s="52" t="s">
        <v>1818</v>
      </c>
      <c r="S168" s="54">
        <v>1</v>
      </c>
      <c r="T168" s="54">
        <f>V168/114*100/S168</f>
        <v>13157.894736842103</v>
      </c>
      <c r="U168" s="54">
        <f t="shared" si="16"/>
        <v>13392.857142857141</v>
      </c>
      <c r="V168" s="54">
        <v>15000</v>
      </c>
      <c r="W168" s="52"/>
      <c r="X168" s="52">
        <v>2012</v>
      </c>
      <c r="Y168" s="52"/>
    </row>
    <row r="169" spans="2:25" s="55" customFormat="1" ht="114.75">
      <c r="B169" s="52" t="s">
        <v>929</v>
      </c>
      <c r="C169" s="78" t="s">
        <v>246</v>
      </c>
      <c r="D169" s="58" t="s">
        <v>249</v>
      </c>
      <c r="E169" s="56" t="s">
        <v>90</v>
      </c>
      <c r="F169" s="56" t="s">
        <v>90</v>
      </c>
      <c r="G169" s="56"/>
      <c r="H169" s="52" t="s">
        <v>243</v>
      </c>
      <c r="I169" s="52">
        <v>0</v>
      </c>
      <c r="J169" s="52">
        <v>470000000</v>
      </c>
      <c r="K169" s="53" t="s">
        <v>105</v>
      </c>
      <c r="L169" s="52" t="s">
        <v>1471</v>
      </c>
      <c r="M169" s="53" t="s">
        <v>105</v>
      </c>
      <c r="N169" s="52" t="s">
        <v>241</v>
      </c>
      <c r="O169" s="52" t="s">
        <v>1548</v>
      </c>
      <c r="P169" s="53" t="s">
        <v>344</v>
      </c>
      <c r="Q169" s="52">
        <v>797</v>
      </c>
      <c r="R169" s="52" t="s">
        <v>1818</v>
      </c>
      <c r="S169" s="54">
        <v>2</v>
      </c>
      <c r="T169" s="54">
        <f>V169/114*100/S169</f>
        <v>17192.982456140351</v>
      </c>
      <c r="U169" s="54">
        <f t="shared" si="16"/>
        <v>35000</v>
      </c>
      <c r="V169" s="54">
        <v>39200</v>
      </c>
      <c r="W169" s="52"/>
      <c r="X169" s="52">
        <v>2012</v>
      </c>
      <c r="Y169" s="52"/>
    </row>
    <row r="170" spans="2:25" s="55" customFormat="1" ht="114.75">
      <c r="B170" s="52" t="s">
        <v>930</v>
      </c>
      <c r="C170" s="78" t="s">
        <v>246</v>
      </c>
      <c r="D170" s="58" t="s">
        <v>1964</v>
      </c>
      <c r="E170" s="56" t="s">
        <v>95</v>
      </c>
      <c r="F170" s="56" t="s">
        <v>95</v>
      </c>
      <c r="G170" s="56"/>
      <c r="H170" s="52" t="s">
        <v>243</v>
      </c>
      <c r="I170" s="52">
        <v>50</v>
      </c>
      <c r="J170" s="52">
        <v>310000000</v>
      </c>
      <c r="K170" s="53" t="s">
        <v>102</v>
      </c>
      <c r="L170" s="56" t="s">
        <v>1471</v>
      </c>
      <c r="M170" s="53" t="s">
        <v>102</v>
      </c>
      <c r="N170" s="52" t="s">
        <v>241</v>
      </c>
      <c r="O170" s="52" t="s">
        <v>1548</v>
      </c>
      <c r="P170" s="53" t="s">
        <v>344</v>
      </c>
      <c r="Q170" s="52">
        <v>796</v>
      </c>
      <c r="R170" s="52" t="s">
        <v>1818</v>
      </c>
      <c r="S170" s="54">
        <v>1</v>
      </c>
      <c r="T170" s="54">
        <f t="shared" si="15"/>
        <v>35087.719298245618</v>
      </c>
      <c r="U170" s="54">
        <f t="shared" si="16"/>
        <v>35714.285714285717</v>
      </c>
      <c r="V170" s="54">
        <v>40000</v>
      </c>
      <c r="W170" s="52"/>
      <c r="X170" s="52">
        <v>2012</v>
      </c>
      <c r="Y170" s="52"/>
    </row>
    <row r="171" spans="2:25" s="55" customFormat="1" ht="114.75">
      <c r="B171" s="52" t="s">
        <v>931</v>
      </c>
      <c r="C171" s="78" t="s">
        <v>246</v>
      </c>
      <c r="D171" s="128" t="s">
        <v>2326</v>
      </c>
      <c r="E171" s="56" t="s">
        <v>89</v>
      </c>
      <c r="F171" s="56" t="s">
        <v>89</v>
      </c>
      <c r="G171" s="56"/>
      <c r="H171" s="52" t="s">
        <v>243</v>
      </c>
      <c r="I171" s="52">
        <v>50</v>
      </c>
      <c r="J171" s="52">
        <v>310000000</v>
      </c>
      <c r="K171" s="53" t="s">
        <v>102</v>
      </c>
      <c r="L171" s="56" t="s">
        <v>1471</v>
      </c>
      <c r="M171" s="53" t="s">
        <v>102</v>
      </c>
      <c r="N171" s="52" t="s">
        <v>241</v>
      </c>
      <c r="O171" s="52" t="s">
        <v>1548</v>
      </c>
      <c r="P171" s="53" t="s">
        <v>344</v>
      </c>
      <c r="Q171" s="52">
        <v>796</v>
      </c>
      <c r="R171" s="52" t="s">
        <v>1818</v>
      </c>
      <c r="S171" s="54">
        <v>4</v>
      </c>
      <c r="T171" s="54">
        <f t="shared" si="15"/>
        <v>17543.859649122809</v>
      </c>
      <c r="U171" s="54">
        <f t="shared" si="16"/>
        <v>71428.571428571435</v>
      </c>
      <c r="V171" s="54">
        <v>80000</v>
      </c>
      <c r="W171" s="52"/>
      <c r="X171" s="52">
        <v>2012</v>
      </c>
      <c r="Y171" s="52"/>
    </row>
    <row r="172" spans="2:25" s="55" customFormat="1" ht="114.75">
      <c r="B172" s="52" t="s">
        <v>932</v>
      </c>
      <c r="C172" s="78" t="s">
        <v>246</v>
      </c>
      <c r="D172" s="58" t="s">
        <v>249</v>
      </c>
      <c r="E172" s="56" t="s">
        <v>90</v>
      </c>
      <c r="F172" s="56" t="s">
        <v>90</v>
      </c>
      <c r="G172" s="56"/>
      <c r="H172" s="52" t="s">
        <v>243</v>
      </c>
      <c r="I172" s="52">
        <v>50</v>
      </c>
      <c r="J172" s="52">
        <v>310000000</v>
      </c>
      <c r="K172" s="53" t="s">
        <v>102</v>
      </c>
      <c r="L172" s="56" t="s">
        <v>1471</v>
      </c>
      <c r="M172" s="53" t="s">
        <v>102</v>
      </c>
      <c r="N172" s="52" t="s">
        <v>241</v>
      </c>
      <c r="O172" s="52" t="s">
        <v>1548</v>
      </c>
      <c r="P172" s="53" t="s">
        <v>344</v>
      </c>
      <c r="Q172" s="52">
        <v>796</v>
      </c>
      <c r="R172" s="52" t="s">
        <v>1818</v>
      </c>
      <c r="S172" s="54">
        <v>5</v>
      </c>
      <c r="T172" s="54">
        <f t="shared" si="15"/>
        <v>8947.3684210526299</v>
      </c>
      <c r="U172" s="54">
        <f t="shared" si="16"/>
        <v>45535.714285714283</v>
      </c>
      <c r="V172" s="54">
        <v>51000</v>
      </c>
      <c r="W172" s="52"/>
      <c r="X172" s="52">
        <v>2012</v>
      </c>
      <c r="Y172" s="52"/>
    </row>
    <row r="173" spans="2:25" s="55" customFormat="1" ht="114.75">
      <c r="B173" s="52" t="s">
        <v>933</v>
      </c>
      <c r="C173" s="78" t="s">
        <v>246</v>
      </c>
      <c r="D173" s="58" t="s">
        <v>1964</v>
      </c>
      <c r="E173" s="56" t="s">
        <v>95</v>
      </c>
      <c r="F173" s="56" t="s">
        <v>95</v>
      </c>
      <c r="G173" s="56"/>
      <c r="H173" s="52" t="s">
        <v>243</v>
      </c>
      <c r="I173" s="52">
        <v>0</v>
      </c>
      <c r="J173" s="52">
        <v>510000000</v>
      </c>
      <c r="K173" s="53" t="s">
        <v>104</v>
      </c>
      <c r="L173" s="52" t="s">
        <v>1471</v>
      </c>
      <c r="M173" s="53" t="s">
        <v>104</v>
      </c>
      <c r="N173" s="52" t="s">
        <v>241</v>
      </c>
      <c r="O173" s="52" t="s">
        <v>1548</v>
      </c>
      <c r="P173" s="53" t="s">
        <v>344</v>
      </c>
      <c r="Q173" s="52">
        <v>796</v>
      </c>
      <c r="R173" s="52" t="s">
        <v>1818</v>
      </c>
      <c r="S173" s="54">
        <v>1</v>
      </c>
      <c r="T173" s="54">
        <f t="shared" si="15"/>
        <v>52491.228070175443</v>
      </c>
      <c r="U173" s="54">
        <f t="shared" si="16"/>
        <v>53428.571428571435</v>
      </c>
      <c r="V173" s="54">
        <v>59840</v>
      </c>
      <c r="W173" s="52"/>
      <c r="X173" s="52">
        <v>2012</v>
      </c>
      <c r="Y173" s="52"/>
    </row>
    <row r="174" spans="2:25" s="55" customFormat="1" ht="114.75">
      <c r="B174" s="52" t="s">
        <v>934</v>
      </c>
      <c r="C174" s="78" t="s">
        <v>246</v>
      </c>
      <c r="D174" s="58" t="s">
        <v>1964</v>
      </c>
      <c r="E174" s="56" t="s">
        <v>1822</v>
      </c>
      <c r="F174" s="56" t="s">
        <v>1822</v>
      </c>
      <c r="G174" s="56"/>
      <c r="H174" s="52" t="s">
        <v>243</v>
      </c>
      <c r="I174" s="52">
        <v>0</v>
      </c>
      <c r="J174" s="52">
        <v>510000000</v>
      </c>
      <c r="K174" s="53" t="s">
        <v>104</v>
      </c>
      <c r="L174" s="52" t="s">
        <v>1471</v>
      </c>
      <c r="M174" s="53" t="s">
        <v>104</v>
      </c>
      <c r="N174" s="52" t="s">
        <v>241</v>
      </c>
      <c r="O174" s="52" t="s">
        <v>1548</v>
      </c>
      <c r="P174" s="53" t="s">
        <v>344</v>
      </c>
      <c r="Q174" s="52">
        <v>796</v>
      </c>
      <c r="R174" s="52" t="s">
        <v>1818</v>
      </c>
      <c r="S174" s="54">
        <v>2</v>
      </c>
      <c r="T174" s="54">
        <f t="shared" si="15"/>
        <v>12171.052631578948</v>
      </c>
      <c r="U174" s="54">
        <f t="shared" si="16"/>
        <v>24776.785714285714</v>
      </c>
      <c r="V174" s="54">
        <v>27750</v>
      </c>
      <c r="W174" s="52"/>
      <c r="X174" s="52">
        <v>2012</v>
      </c>
      <c r="Y174" s="52"/>
    </row>
    <row r="175" spans="2:25" s="55" customFormat="1" ht="114.75">
      <c r="B175" s="52" t="s">
        <v>935</v>
      </c>
      <c r="C175" s="78" t="s">
        <v>246</v>
      </c>
      <c r="D175" s="66" t="s">
        <v>2057</v>
      </c>
      <c r="E175" s="56" t="s">
        <v>92</v>
      </c>
      <c r="F175" s="56" t="s">
        <v>92</v>
      </c>
      <c r="G175" s="56"/>
      <c r="H175" s="52" t="s">
        <v>243</v>
      </c>
      <c r="I175" s="52">
        <v>0</v>
      </c>
      <c r="J175" s="52">
        <v>510000000</v>
      </c>
      <c r="K175" s="53" t="s">
        <v>104</v>
      </c>
      <c r="L175" s="52" t="s">
        <v>1471</v>
      </c>
      <c r="M175" s="53" t="s">
        <v>104</v>
      </c>
      <c r="N175" s="52" t="s">
        <v>241</v>
      </c>
      <c r="O175" s="52" t="s">
        <v>1548</v>
      </c>
      <c r="P175" s="53" t="s">
        <v>344</v>
      </c>
      <c r="Q175" s="52">
        <v>796</v>
      </c>
      <c r="R175" s="52" t="s">
        <v>1818</v>
      </c>
      <c r="S175" s="54">
        <v>1</v>
      </c>
      <c r="T175" s="54">
        <f t="shared" si="15"/>
        <v>49210.526315789473</v>
      </c>
      <c r="U175" s="54">
        <f t="shared" si="16"/>
        <v>50089.285714285717</v>
      </c>
      <c r="V175" s="54">
        <v>56100</v>
      </c>
      <c r="W175" s="52"/>
      <c r="X175" s="52">
        <v>2012</v>
      </c>
      <c r="Y175" s="52"/>
    </row>
    <row r="176" spans="2:25" s="55" customFormat="1" ht="114.75">
      <c r="B176" s="52" t="s">
        <v>936</v>
      </c>
      <c r="C176" s="78" t="s">
        <v>246</v>
      </c>
      <c r="D176" s="58" t="s">
        <v>1963</v>
      </c>
      <c r="E176" s="56" t="s">
        <v>1884</v>
      </c>
      <c r="F176" s="56" t="s">
        <v>1884</v>
      </c>
      <c r="G176" s="56"/>
      <c r="H176" s="52" t="s">
        <v>243</v>
      </c>
      <c r="I176" s="52">
        <v>0</v>
      </c>
      <c r="J176" s="52">
        <v>510000000</v>
      </c>
      <c r="K176" s="53" t="s">
        <v>104</v>
      </c>
      <c r="L176" s="52" t="s">
        <v>1471</v>
      </c>
      <c r="M176" s="53" t="s">
        <v>104</v>
      </c>
      <c r="N176" s="52" t="s">
        <v>241</v>
      </c>
      <c r="O176" s="52" t="s">
        <v>1548</v>
      </c>
      <c r="P176" s="53" t="s">
        <v>344</v>
      </c>
      <c r="Q176" s="52">
        <v>796</v>
      </c>
      <c r="R176" s="52" t="s">
        <v>1818</v>
      </c>
      <c r="S176" s="54">
        <v>1</v>
      </c>
      <c r="T176" s="54">
        <f t="shared" si="15"/>
        <v>22368.421052631576</v>
      </c>
      <c r="U176" s="54">
        <f t="shared" si="16"/>
        <v>22767.857142857141</v>
      </c>
      <c r="V176" s="54">
        <v>25500</v>
      </c>
      <c r="W176" s="52"/>
      <c r="X176" s="52">
        <v>2012</v>
      </c>
      <c r="Y176" s="52"/>
    </row>
    <row r="177" spans="2:25" s="55" customFormat="1" ht="114.75">
      <c r="B177" s="52" t="s">
        <v>937</v>
      </c>
      <c r="C177" s="78" t="s">
        <v>246</v>
      </c>
      <c r="D177" s="128" t="s">
        <v>2326</v>
      </c>
      <c r="E177" s="56" t="s">
        <v>89</v>
      </c>
      <c r="F177" s="53" t="s">
        <v>2056</v>
      </c>
      <c r="G177" s="53"/>
      <c r="H177" s="52" t="s">
        <v>243</v>
      </c>
      <c r="I177" s="52">
        <v>0</v>
      </c>
      <c r="J177" s="52">
        <v>190000000</v>
      </c>
      <c r="K177" s="53" t="s">
        <v>117</v>
      </c>
      <c r="L177" s="52" t="s">
        <v>1471</v>
      </c>
      <c r="M177" s="53" t="s">
        <v>117</v>
      </c>
      <c r="N177" s="52" t="s">
        <v>241</v>
      </c>
      <c r="O177" s="52" t="s">
        <v>1548</v>
      </c>
      <c r="P177" s="53" t="s">
        <v>344</v>
      </c>
      <c r="Q177" s="52">
        <v>796</v>
      </c>
      <c r="R177" s="52" t="s">
        <v>1818</v>
      </c>
      <c r="S177" s="54">
        <v>1</v>
      </c>
      <c r="T177" s="54">
        <f t="shared" si="15"/>
        <v>26315.789473684206</v>
      </c>
      <c r="U177" s="54">
        <f t="shared" ref="U177" si="18">V177/112*100</f>
        <v>26785.714285714283</v>
      </c>
      <c r="V177" s="54">
        <v>30000</v>
      </c>
      <c r="W177" s="52"/>
      <c r="X177" s="52">
        <v>2012</v>
      </c>
      <c r="Y177" s="52"/>
    </row>
    <row r="178" spans="2:25" s="55" customFormat="1" ht="114.75">
      <c r="B178" s="52" t="s">
        <v>938</v>
      </c>
      <c r="C178" s="78" t="s">
        <v>246</v>
      </c>
      <c r="D178" s="66" t="s">
        <v>249</v>
      </c>
      <c r="E178" s="56" t="s">
        <v>1885</v>
      </c>
      <c r="F178" s="56" t="s">
        <v>2204</v>
      </c>
      <c r="G178" s="56"/>
      <c r="H178" s="52" t="s">
        <v>243</v>
      </c>
      <c r="I178" s="52">
        <v>0</v>
      </c>
      <c r="J178" s="52">
        <v>751000000</v>
      </c>
      <c r="K178" s="53" t="s">
        <v>2290</v>
      </c>
      <c r="L178" s="52" t="s">
        <v>1471</v>
      </c>
      <c r="M178" s="53" t="s">
        <v>2290</v>
      </c>
      <c r="N178" s="52" t="s">
        <v>241</v>
      </c>
      <c r="O178" s="52" t="s">
        <v>1471</v>
      </c>
      <c r="P178" s="53" t="s">
        <v>344</v>
      </c>
      <c r="Q178" s="52">
        <v>796</v>
      </c>
      <c r="R178" s="52" t="s">
        <v>1818</v>
      </c>
      <c r="S178" s="54">
        <v>20</v>
      </c>
      <c r="T178" s="54">
        <f t="shared" ref="T178:T199" si="19">V178/114*100/S178</f>
        <v>964.0350877192983</v>
      </c>
      <c r="U178" s="54">
        <f t="shared" ref="U178:U241" si="20">V178/112*100</f>
        <v>19625</v>
      </c>
      <c r="V178" s="54">
        <v>21980</v>
      </c>
      <c r="W178" s="52"/>
      <c r="X178" s="52">
        <v>2012</v>
      </c>
      <c r="Y178" s="52"/>
    </row>
    <row r="179" spans="2:25" s="55" customFormat="1" ht="114.75">
      <c r="B179" s="52" t="s">
        <v>939</v>
      </c>
      <c r="C179" s="78" t="s">
        <v>246</v>
      </c>
      <c r="D179" s="66" t="s">
        <v>249</v>
      </c>
      <c r="E179" s="56" t="s">
        <v>1886</v>
      </c>
      <c r="F179" s="56" t="s">
        <v>2205</v>
      </c>
      <c r="G179" s="56"/>
      <c r="H179" s="52" t="s">
        <v>243</v>
      </c>
      <c r="I179" s="52">
        <v>10</v>
      </c>
      <c r="J179" s="52">
        <v>751000000</v>
      </c>
      <c r="K179" s="53" t="s">
        <v>2290</v>
      </c>
      <c r="L179" s="52" t="s">
        <v>1471</v>
      </c>
      <c r="M179" s="53" t="s">
        <v>2290</v>
      </c>
      <c r="N179" s="52" t="s">
        <v>241</v>
      </c>
      <c r="O179" s="52" t="s">
        <v>1471</v>
      </c>
      <c r="P179" s="53" t="s">
        <v>344</v>
      </c>
      <c r="Q179" s="52">
        <v>796</v>
      </c>
      <c r="R179" s="52" t="s">
        <v>1818</v>
      </c>
      <c r="S179" s="54">
        <v>1</v>
      </c>
      <c r="T179" s="54">
        <f t="shared" si="19"/>
        <v>3245.614035087719</v>
      </c>
      <c r="U179" s="54">
        <f t="shared" si="20"/>
        <v>3303.5714285714284</v>
      </c>
      <c r="V179" s="54">
        <v>3700</v>
      </c>
      <c r="W179" s="52"/>
      <c r="X179" s="52">
        <v>2012</v>
      </c>
      <c r="Y179" s="52"/>
    </row>
    <row r="180" spans="2:25" s="55" customFormat="1" ht="114.75">
      <c r="B180" s="52" t="s">
        <v>940</v>
      </c>
      <c r="C180" s="78" t="s">
        <v>246</v>
      </c>
      <c r="D180" s="57" t="s">
        <v>247</v>
      </c>
      <c r="E180" s="56" t="s">
        <v>1887</v>
      </c>
      <c r="F180" s="56" t="s">
        <v>2206</v>
      </c>
      <c r="G180" s="56"/>
      <c r="H180" s="52" t="s">
        <v>243</v>
      </c>
      <c r="I180" s="52">
        <v>0</v>
      </c>
      <c r="J180" s="52">
        <v>751000000</v>
      </c>
      <c r="K180" s="53" t="s">
        <v>2290</v>
      </c>
      <c r="L180" s="52" t="s">
        <v>1471</v>
      </c>
      <c r="M180" s="53" t="s">
        <v>2290</v>
      </c>
      <c r="N180" s="52" t="s">
        <v>241</v>
      </c>
      <c r="O180" s="52" t="s">
        <v>1471</v>
      </c>
      <c r="P180" s="53" t="s">
        <v>344</v>
      </c>
      <c r="Q180" s="52">
        <v>796</v>
      </c>
      <c r="R180" s="52" t="s">
        <v>1818</v>
      </c>
      <c r="S180" s="54">
        <v>1</v>
      </c>
      <c r="T180" s="54">
        <f t="shared" si="19"/>
        <v>1692.9824561403511</v>
      </c>
      <c r="U180" s="54">
        <f t="shared" si="20"/>
        <v>1723.2142857142858</v>
      </c>
      <c r="V180" s="54">
        <v>1930</v>
      </c>
      <c r="W180" s="52"/>
      <c r="X180" s="52">
        <v>2012</v>
      </c>
      <c r="Y180" s="52"/>
    </row>
    <row r="181" spans="2:25" s="55" customFormat="1" ht="114.75">
      <c r="B181" s="52" t="s">
        <v>941</v>
      </c>
      <c r="C181" s="78" t="s">
        <v>246</v>
      </c>
      <c r="D181" s="57" t="s">
        <v>247</v>
      </c>
      <c r="E181" s="56" t="s">
        <v>1888</v>
      </c>
      <c r="F181" s="56" t="s">
        <v>2207</v>
      </c>
      <c r="G181" s="56"/>
      <c r="H181" s="52" t="s">
        <v>243</v>
      </c>
      <c r="I181" s="52">
        <v>0</v>
      </c>
      <c r="J181" s="52">
        <v>751000000</v>
      </c>
      <c r="K181" s="53" t="s">
        <v>2290</v>
      </c>
      <c r="L181" s="52" t="s">
        <v>1471</v>
      </c>
      <c r="M181" s="53" t="s">
        <v>2290</v>
      </c>
      <c r="N181" s="52" t="s">
        <v>241</v>
      </c>
      <c r="O181" s="52" t="s">
        <v>1471</v>
      </c>
      <c r="P181" s="53" t="s">
        <v>344</v>
      </c>
      <c r="Q181" s="52">
        <v>796</v>
      </c>
      <c r="R181" s="52" t="s">
        <v>1818</v>
      </c>
      <c r="S181" s="54">
        <v>5</v>
      </c>
      <c r="T181" s="54">
        <f t="shared" si="19"/>
        <v>671.92982456140351</v>
      </c>
      <c r="U181" s="54">
        <f t="shared" si="20"/>
        <v>3419.6428571428569</v>
      </c>
      <c r="V181" s="54">
        <v>3830</v>
      </c>
      <c r="W181" s="52"/>
      <c r="X181" s="52">
        <v>2012</v>
      </c>
      <c r="Y181" s="52"/>
    </row>
    <row r="182" spans="2:25" s="55" customFormat="1" ht="114.75">
      <c r="B182" s="52" t="s">
        <v>942</v>
      </c>
      <c r="C182" s="78" t="s">
        <v>246</v>
      </c>
      <c r="D182" s="57" t="s">
        <v>247</v>
      </c>
      <c r="E182" s="56" t="s">
        <v>1889</v>
      </c>
      <c r="F182" s="56" t="s">
        <v>2208</v>
      </c>
      <c r="G182" s="56"/>
      <c r="H182" s="52" t="s">
        <v>243</v>
      </c>
      <c r="I182" s="52">
        <v>0</v>
      </c>
      <c r="J182" s="52">
        <v>751000000</v>
      </c>
      <c r="K182" s="53" t="s">
        <v>2290</v>
      </c>
      <c r="L182" s="52" t="s">
        <v>1471</v>
      </c>
      <c r="M182" s="53" t="s">
        <v>2290</v>
      </c>
      <c r="N182" s="52" t="s">
        <v>241</v>
      </c>
      <c r="O182" s="52" t="s">
        <v>1471</v>
      </c>
      <c r="P182" s="53" t="s">
        <v>344</v>
      </c>
      <c r="Q182" s="52">
        <v>797</v>
      </c>
      <c r="R182" s="52" t="s">
        <v>1818</v>
      </c>
      <c r="S182" s="54">
        <v>10</v>
      </c>
      <c r="T182" s="54">
        <f>V182/114*100/S182</f>
        <v>2671.0526315789475</v>
      </c>
      <c r="U182" s="54">
        <f t="shared" si="20"/>
        <v>27187.5</v>
      </c>
      <c r="V182" s="54">
        <v>30450</v>
      </c>
      <c r="W182" s="52"/>
      <c r="X182" s="52">
        <v>2012</v>
      </c>
      <c r="Y182" s="52"/>
    </row>
    <row r="183" spans="2:25" s="55" customFormat="1" ht="114.75">
      <c r="B183" s="52" t="s">
        <v>943</v>
      </c>
      <c r="C183" s="78" t="s">
        <v>246</v>
      </c>
      <c r="D183" s="57" t="s">
        <v>247</v>
      </c>
      <c r="E183" s="56" t="s">
        <v>1823</v>
      </c>
      <c r="F183" s="56" t="s">
        <v>2209</v>
      </c>
      <c r="G183" s="56"/>
      <c r="H183" s="52" t="s">
        <v>243</v>
      </c>
      <c r="I183" s="52">
        <v>0</v>
      </c>
      <c r="J183" s="52">
        <v>751000000</v>
      </c>
      <c r="K183" s="53" t="s">
        <v>2290</v>
      </c>
      <c r="L183" s="52" t="s">
        <v>1471</v>
      </c>
      <c r="M183" s="53" t="s">
        <v>2290</v>
      </c>
      <c r="N183" s="52" t="s">
        <v>241</v>
      </c>
      <c r="O183" s="52" t="s">
        <v>1471</v>
      </c>
      <c r="P183" s="53" t="s">
        <v>344</v>
      </c>
      <c r="Q183" s="52">
        <v>796</v>
      </c>
      <c r="R183" s="52" t="s">
        <v>1818</v>
      </c>
      <c r="S183" s="54">
        <v>10</v>
      </c>
      <c r="T183" s="54">
        <f t="shared" si="19"/>
        <v>5445.6140350877195</v>
      </c>
      <c r="U183" s="54">
        <f t="shared" si="20"/>
        <v>55428.571428571435</v>
      </c>
      <c r="V183" s="54">
        <v>62080</v>
      </c>
      <c r="W183" s="52"/>
      <c r="X183" s="52">
        <v>2012</v>
      </c>
      <c r="Y183" s="52"/>
    </row>
    <row r="184" spans="2:25" s="55" customFormat="1" ht="114.75">
      <c r="B184" s="52" t="s">
        <v>944</v>
      </c>
      <c r="C184" s="78" t="s">
        <v>246</v>
      </c>
      <c r="D184" s="57" t="s">
        <v>247</v>
      </c>
      <c r="E184" s="56" t="s">
        <v>1890</v>
      </c>
      <c r="F184" s="56" t="s">
        <v>1890</v>
      </c>
      <c r="G184" s="56"/>
      <c r="H184" s="52" t="s">
        <v>243</v>
      </c>
      <c r="I184" s="52">
        <v>0</v>
      </c>
      <c r="J184" s="52">
        <v>751000000</v>
      </c>
      <c r="K184" s="53" t="s">
        <v>2290</v>
      </c>
      <c r="L184" s="52" t="s">
        <v>1471</v>
      </c>
      <c r="M184" s="53" t="s">
        <v>2290</v>
      </c>
      <c r="N184" s="52" t="s">
        <v>241</v>
      </c>
      <c r="O184" s="52" t="s">
        <v>1471</v>
      </c>
      <c r="P184" s="53" t="s">
        <v>344</v>
      </c>
      <c r="Q184" s="52">
        <v>796</v>
      </c>
      <c r="R184" s="52" t="s">
        <v>1818</v>
      </c>
      <c r="S184" s="54">
        <v>9</v>
      </c>
      <c r="T184" s="54">
        <f t="shared" si="19"/>
        <v>730.99415204678348</v>
      </c>
      <c r="U184" s="54">
        <f t="shared" si="20"/>
        <v>6696.4285714285706</v>
      </c>
      <c r="V184" s="54">
        <v>7500</v>
      </c>
      <c r="W184" s="52"/>
      <c r="X184" s="52">
        <v>2012</v>
      </c>
      <c r="Y184" s="52"/>
    </row>
    <row r="185" spans="2:25" s="55" customFormat="1" ht="114.75">
      <c r="B185" s="52" t="s">
        <v>945</v>
      </c>
      <c r="C185" s="78" t="s">
        <v>246</v>
      </c>
      <c r="D185" s="57" t="s">
        <v>1606</v>
      </c>
      <c r="E185" s="56" t="s">
        <v>1891</v>
      </c>
      <c r="F185" s="56" t="s">
        <v>2210</v>
      </c>
      <c r="G185" s="56"/>
      <c r="H185" s="52" t="s">
        <v>243</v>
      </c>
      <c r="I185" s="52">
        <v>0</v>
      </c>
      <c r="J185" s="52">
        <v>751000000</v>
      </c>
      <c r="K185" s="53" t="s">
        <v>2290</v>
      </c>
      <c r="L185" s="52" t="s">
        <v>1471</v>
      </c>
      <c r="M185" s="53" t="s">
        <v>2290</v>
      </c>
      <c r="N185" s="52" t="s">
        <v>241</v>
      </c>
      <c r="O185" s="52" t="s">
        <v>1471</v>
      </c>
      <c r="P185" s="53" t="s">
        <v>344</v>
      </c>
      <c r="Q185" s="52">
        <v>796</v>
      </c>
      <c r="R185" s="52" t="s">
        <v>1818</v>
      </c>
      <c r="S185" s="54">
        <v>5</v>
      </c>
      <c r="T185" s="54">
        <f t="shared" si="19"/>
        <v>257.01754385964909</v>
      </c>
      <c r="U185" s="54">
        <f t="shared" si="20"/>
        <v>1308.0357142857142</v>
      </c>
      <c r="V185" s="54">
        <v>1465</v>
      </c>
      <c r="W185" s="52"/>
      <c r="X185" s="52">
        <v>2012</v>
      </c>
      <c r="Y185" s="52"/>
    </row>
    <row r="186" spans="2:25" s="55" customFormat="1" ht="114.75">
      <c r="B186" s="52" t="s">
        <v>946</v>
      </c>
      <c r="C186" s="78" t="s">
        <v>246</v>
      </c>
      <c r="D186" s="58" t="s">
        <v>251</v>
      </c>
      <c r="E186" s="56" t="s">
        <v>2450</v>
      </c>
      <c r="F186" s="56" t="s">
        <v>2211</v>
      </c>
      <c r="G186" s="56"/>
      <c r="H186" s="52" t="s">
        <v>243</v>
      </c>
      <c r="I186" s="52">
        <v>0</v>
      </c>
      <c r="J186" s="52">
        <v>751000000</v>
      </c>
      <c r="K186" s="53" t="s">
        <v>2290</v>
      </c>
      <c r="L186" s="52" t="s">
        <v>1471</v>
      </c>
      <c r="M186" s="53" t="s">
        <v>2290</v>
      </c>
      <c r="N186" s="52" t="s">
        <v>241</v>
      </c>
      <c r="O186" s="52" t="s">
        <v>1471</v>
      </c>
      <c r="P186" s="53" t="s">
        <v>344</v>
      </c>
      <c r="Q186" s="52">
        <v>796</v>
      </c>
      <c r="R186" s="52" t="s">
        <v>1818</v>
      </c>
      <c r="S186" s="54">
        <v>5</v>
      </c>
      <c r="T186" s="54">
        <f t="shared" si="19"/>
        <v>599.12280701754378</v>
      </c>
      <c r="U186" s="54">
        <f t="shared" si="20"/>
        <v>3049.1071428571427</v>
      </c>
      <c r="V186" s="54">
        <v>3415</v>
      </c>
      <c r="W186" s="52"/>
      <c r="X186" s="52">
        <v>2012</v>
      </c>
      <c r="Y186" s="52"/>
    </row>
    <row r="187" spans="2:25" s="55" customFormat="1" ht="114.75">
      <c r="B187" s="52" t="s">
        <v>947</v>
      </c>
      <c r="C187" s="78" t="s">
        <v>246</v>
      </c>
      <c r="D187" s="57" t="s">
        <v>248</v>
      </c>
      <c r="E187" s="56" t="s">
        <v>2451</v>
      </c>
      <c r="F187" s="56" t="s">
        <v>2212</v>
      </c>
      <c r="G187" s="56"/>
      <c r="H187" s="52" t="s">
        <v>243</v>
      </c>
      <c r="I187" s="52">
        <v>0</v>
      </c>
      <c r="J187" s="52">
        <v>751000000</v>
      </c>
      <c r="K187" s="53" t="s">
        <v>2290</v>
      </c>
      <c r="L187" s="52" t="s">
        <v>1471</v>
      </c>
      <c r="M187" s="53" t="s">
        <v>2290</v>
      </c>
      <c r="N187" s="52" t="s">
        <v>241</v>
      </c>
      <c r="O187" s="52" t="s">
        <v>1471</v>
      </c>
      <c r="P187" s="53" t="s">
        <v>344</v>
      </c>
      <c r="Q187" s="52">
        <v>796</v>
      </c>
      <c r="R187" s="52" t="s">
        <v>1818</v>
      </c>
      <c r="S187" s="54">
        <v>5</v>
      </c>
      <c r="T187" s="54">
        <f t="shared" si="19"/>
        <v>347.36842105263156</v>
      </c>
      <c r="U187" s="54">
        <f t="shared" si="20"/>
        <v>1767.8571428571427</v>
      </c>
      <c r="V187" s="54">
        <v>1980</v>
      </c>
      <c r="W187" s="52"/>
      <c r="X187" s="52">
        <v>2012</v>
      </c>
      <c r="Y187" s="52"/>
    </row>
    <row r="188" spans="2:25" s="55" customFormat="1" ht="114.75">
      <c r="B188" s="52" t="s">
        <v>948</v>
      </c>
      <c r="C188" s="78" t="s">
        <v>246</v>
      </c>
      <c r="D188" s="57" t="s">
        <v>248</v>
      </c>
      <c r="E188" s="56" t="s">
        <v>2451</v>
      </c>
      <c r="F188" s="56" t="s">
        <v>2213</v>
      </c>
      <c r="G188" s="56"/>
      <c r="H188" s="52" t="s">
        <v>243</v>
      </c>
      <c r="I188" s="52">
        <v>0</v>
      </c>
      <c r="J188" s="52">
        <v>751000000</v>
      </c>
      <c r="K188" s="53" t="s">
        <v>2290</v>
      </c>
      <c r="L188" s="52" t="s">
        <v>1471</v>
      </c>
      <c r="M188" s="53" t="s">
        <v>2290</v>
      </c>
      <c r="N188" s="52" t="s">
        <v>241</v>
      </c>
      <c r="O188" s="52" t="s">
        <v>1471</v>
      </c>
      <c r="P188" s="53" t="s">
        <v>344</v>
      </c>
      <c r="Q188" s="52">
        <v>796</v>
      </c>
      <c r="R188" s="52" t="s">
        <v>1818</v>
      </c>
      <c r="S188" s="54">
        <v>5</v>
      </c>
      <c r="T188" s="54">
        <f t="shared" si="19"/>
        <v>112.28070175438594</v>
      </c>
      <c r="U188" s="54">
        <f t="shared" si="20"/>
        <v>571.42857142857144</v>
      </c>
      <c r="V188" s="54">
        <v>640</v>
      </c>
      <c r="W188" s="52"/>
      <c r="X188" s="52">
        <v>2012</v>
      </c>
      <c r="Y188" s="52"/>
    </row>
    <row r="189" spans="2:25" s="55" customFormat="1" ht="114.75">
      <c r="B189" s="52" t="s">
        <v>949</v>
      </c>
      <c r="C189" s="78" t="s">
        <v>246</v>
      </c>
      <c r="D189" s="52" t="s">
        <v>248</v>
      </c>
      <c r="E189" s="56" t="s">
        <v>1892</v>
      </c>
      <c r="F189" s="56" t="s">
        <v>2214</v>
      </c>
      <c r="G189" s="56"/>
      <c r="H189" s="52" t="s">
        <v>243</v>
      </c>
      <c r="I189" s="52">
        <v>0</v>
      </c>
      <c r="J189" s="52">
        <v>751000000</v>
      </c>
      <c r="K189" s="53" t="s">
        <v>2290</v>
      </c>
      <c r="L189" s="52" t="s">
        <v>1471</v>
      </c>
      <c r="M189" s="53" t="s">
        <v>2290</v>
      </c>
      <c r="N189" s="52" t="s">
        <v>241</v>
      </c>
      <c r="O189" s="52" t="s">
        <v>1471</v>
      </c>
      <c r="P189" s="53" t="s">
        <v>344</v>
      </c>
      <c r="Q189" s="52">
        <v>796</v>
      </c>
      <c r="R189" s="52" t="s">
        <v>1818</v>
      </c>
      <c r="S189" s="54">
        <v>1</v>
      </c>
      <c r="T189" s="54">
        <f t="shared" si="19"/>
        <v>280.70175438596488</v>
      </c>
      <c r="U189" s="54">
        <f t="shared" si="20"/>
        <v>285.71428571428572</v>
      </c>
      <c r="V189" s="54">
        <v>320</v>
      </c>
      <c r="W189" s="52"/>
      <c r="X189" s="52">
        <v>2012</v>
      </c>
      <c r="Y189" s="52"/>
    </row>
    <row r="190" spans="2:25" s="55" customFormat="1" ht="114.75">
      <c r="B190" s="52" t="s">
        <v>950</v>
      </c>
      <c r="C190" s="78" t="s">
        <v>246</v>
      </c>
      <c r="D190" s="52" t="s">
        <v>248</v>
      </c>
      <c r="E190" s="56" t="s">
        <v>1893</v>
      </c>
      <c r="F190" s="56" t="s">
        <v>2215</v>
      </c>
      <c r="G190" s="56"/>
      <c r="H190" s="52" t="s">
        <v>243</v>
      </c>
      <c r="I190" s="52">
        <v>0</v>
      </c>
      <c r="J190" s="52">
        <v>751000000</v>
      </c>
      <c r="K190" s="53" t="s">
        <v>2290</v>
      </c>
      <c r="L190" s="52" t="s">
        <v>1471</v>
      </c>
      <c r="M190" s="53" t="s">
        <v>2290</v>
      </c>
      <c r="N190" s="52" t="s">
        <v>241</v>
      </c>
      <c r="O190" s="52" t="s">
        <v>1471</v>
      </c>
      <c r="P190" s="53" t="s">
        <v>344</v>
      </c>
      <c r="Q190" s="52">
        <v>796</v>
      </c>
      <c r="R190" s="52" t="s">
        <v>1818</v>
      </c>
      <c r="S190" s="54">
        <v>4</v>
      </c>
      <c r="T190" s="54">
        <f t="shared" si="19"/>
        <v>438.59649122807019</v>
      </c>
      <c r="U190" s="54">
        <f t="shared" si="20"/>
        <v>1785.7142857142858</v>
      </c>
      <c r="V190" s="54">
        <v>2000</v>
      </c>
      <c r="W190" s="52"/>
      <c r="X190" s="52">
        <v>2012</v>
      </c>
      <c r="Y190" s="52"/>
    </row>
    <row r="191" spans="2:25" s="55" customFormat="1" ht="114.75">
      <c r="B191" s="52" t="s">
        <v>951</v>
      </c>
      <c r="C191" s="78" t="s">
        <v>246</v>
      </c>
      <c r="D191" s="52" t="s">
        <v>248</v>
      </c>
      <c r="E191" s="56" t="s">
        <v>1894</v>
      </c>
      <c r="F191" s="56" t="s">
        <v>2216</v>
      </c>
      <c r="G191" s="56"/>
      <c r="H191" s="52" t="s">
        <v>243</v>
      </c>
      <c r="I191" s="52">
        <v>0</v>
      </c>
      <c r="J191" s="52">
        <v>751000000</v>
      </c>
      <c r="K191" s="53" t="s">
        <v>2290</v>
      </c>
      <c r="L191" s="52" t="s">
        <v>1471</v>
      </c>
      <c r="M191" s="53" t="s">
        <v>2290</v>
      </c>
      <c r="N191" s="52" t="s">
        <v>241</v>
      </c>
      <c r="O191" s="52" t="s">
        <v>1471</v>
      </c>
      <c r="P191" s="53" t="s">
        <v>344</v>
      </c>
      <c r="Q191" s="52">
        <v>796</v>
      </c>
      <c r="R191" s="52" t="s">
        <v>1818</v>
      </c>
      <c r="S191" s="54">
        <v>10</v>
      </c>
      <c r="T191" s="54">
        <f t="shared" si="19"/>
        <v>964.91228070175441</v>
      </c>
      <c r="U191" s="54">
        <f t="shared" si="20"/>
        <v>9821.4285714285706</v>
      </c>
      <c r="V191" s="54">
        <v>11000</v>
      </c>
      <c r="W191" s="52"/>
      <c r="X191" s="52">
        <v>2012</v>
      </c>
      <c r="Y191" s="52"/>
    </row>
    <row r="192" spans="2:25" s="55" customFormat="1" ht="114.75">
      <c r="B192" s="52" t="s">
        <v>952</v>
      </c>
      <c r="C192" s="78" t="s">
        <v>246</v>
      </c>
      <c r="D192" s="52" t="s">
        <v>270</v>
      </c>
      <c r="E192" s="56" t="s">
        <v>1895</v>
      </c>
      <c r="F192" s="56" t="s">
        <v>2217</v>
      </c>
      <c r="G192" s="56"/>
      <c r="H192" s="52" t="s">
        <v>243</v>
      </c>
      <c r="I192" s="52">
        <v>0</v>
      </c>
      <c r="J192" s="52">
        <v>751000000</v>
      </c>
      <c r="K192" s="53" t="s">
        <v>2290</v>
      </c>
      <c r="L192" s="52" t="s">
        <v>1471</v>
      </c>
      <c r="M192" s="53" t="s">
        <v>2290</v>
      </c>
      <c r="N192" s="52" t="s">
        <v>241</v>
      </c>
      <c r="O192" s="52" t="s">
        <v>1471</v>
      </c>
      <c r="P192" s="53" t="s">
        <v>344</v>
      </c>
      <c r="Q192" s="52">
        <v>796</v>
      </c>
      <c r="R192" s="52" t="s">
        <v>1818</v>
      </c>
      <c r="S192" s="54">
        <v>1</v>
      </c>
      <c r="T192" s="54">
        <f t="shared" si="19"/>
        <v>15570.17543859649</v>
      </c>
      <c r="U192" s="54">
        <f t="shared" si="20"/>
        <v>15848.214285714286</v>
      </c>
      <c r="V192" s="54">
        <v>17750</v>
      </c>
      <c r="W192" s="52"/>
      <c r="X192" s="52">
        <v>2012</v>
      </c>
      <c r="Y192" s="52"/>
    </row>
    <row r="193" spans="2:26" s="55" customFormat="1" ht="114.75">
      <c r="B193" s="52" t="s">
        <v>953</v>
      </c>
      <c r="C193" s="78" t="s">
        <v>246</v>
      </c>
      <c r="D193" s="52" t="s">
        <v>271</v>
      </c>
      <c r="E193" s="56" t="s">
        <v>1896</v>
      </c>
      <c r="F193" s="56" t="s">
        <v>2218</v>
      </c>
      <c r="G193" s="56"/>
      <c r="H193" s="52" t="s">
        <v>243</v>
      </c>
      <c r="I193" s="52">
        <v>0</v>
      </c>
      <c r="J193" s="52">
        <v>751000000</v>
      </c>
      <c r="K193" s="53" t="s">
        <v>2290</v>
      </c>
      <c r="L193" s="52" t="s">
        <v>1471</v>
      </c>
      <c r="M193" s="53" t="s">
        <v>2290</v>
      </c>
      <c r="N193" s="52" t="s">
        <v>241</v>
      </c>
      <c r="O193" s="52" t="s">
        <v>1471</v>
      </c>
      <c r="P193" s="53" t="s">
        <v>344</v>
      </c>
      <c r="Q193" s="52">
        <v>796</v>
      </c>
      <c r="R193" s="52" t="s">
        <v>1818</v>
      </c>
      <c r="S193" s="54">
        <v>1</v>
      </c>
      <c r="T193" s="54">
        <f t="shared" si="19"/>
        <v>37719.298245614031</v>
      </c>
      <c r="U193" s="54">
        <f t="shared" si="20"/>
        <v>38392.857142857145</v>
      </c>
      <c r="V193" s="54">
        <v>43000</v>
      </c>
      <c r="W193" s="52"/>
      <c r="X193" s="52">
        <v>2012</v>
      </c>
      <c r="Y193" s="52"/>
    </row>
    <row r="194" spans="2:26" s="55" customFormat="1" ht="114.75">
      <c r="B194" s="52" t="s">
        <v>954</v>
      </c>
      <c r="C194" s="78" t="s">
        <v>246</v>
      </c>
      <c r="D194" s="52" t="s">
        <v>275</v>
      </c>
      <c r="E194" s="56" t="s">
        <v>1897</v>
      </c>
      <c r="F194" s="56" t="s">
        <v>2219</v>
      </c>
      <c r="G194" s="56"/>
      <c r="H194" s="52" t="s">
        <v>243</v>
      </c>
      <c r="I194" s="52">
        <v>0</v>
      </c>
      <c r="J194" s="52">
        <v>751000000</v>
      </c>
      <c r="K194" s="53" t="s">
        <v>2290</v>
      </c>
      <c r="L194" s="52" t="s">
        <v>1471</v>
      </c>
      <c r="M194" s="53" t="s">
        <v>2290</v>
      </c>
      <c r="N194" s="52" t="s">
        <v>241</v>
      </c>
      <c r="O194" s="52" t="s">
        <v>1471</v>
      </c>
      <c r="P194" s="53" t="s">
        <v>344</v>
      </c>
      <c r="Q194" s="52">
        <v>796</v>
      </c>
      <c r="R194" s="52" t="s">
        <v>1818</v>
      </c>
      <c r="S194" s="54">
        <v>5</v>
      </c>
      <c r="T194" s="54">
        <f t="shared" si="19"/>
        <v>491.22807017543863</v>
      </c>
      <c r="U194" s="54">
        <f t="shared" si="20"/>
        <v>2500</v>
      </c>
      <c r="V194" s="54">
        <v>2800</v>
      </c>
      <c r="W194" s="52"/>
      <c r="X194" s="52">
        <v>2012</v>
      </c>
      <c r="Y194" s="52"/>
    </row>
    <row r="195" spans="2:26" s="55" customFormat="1" ht="114.75">
      <c r="B195" s="52" t="s">
        <v>955</v>
      </c>
      <c r="C195" s="78" t="s">
        <v>246</v>
      </c>
      <c r="D195" s="52" t="s">
        <v>275</v>
      </c>
      <c r="E195" s="56" t="s">
        <v>1898</v>
      </c>
      <c r="F195" s="56" t="s">
        <v>2220</v>
      </c>
      <c r="G195" s="56"/>
      <c r="H195" s="52" t="s">
        <v>243</v>
      </c>
      <c r="I195" s="52">
        <v>0</v>
      </c>
      <c r="J195" s="52">
        <v>751000000</v>
      </c>
      <c r="K195" s="53" t="s">
        <v>2290</v>
      </c>
      <c r="L195" s="52" t="s">
        <v>1471</v>
      </c>
      <c r="M195" s="53" t="s">
        <v>2290</v>
      </c>
      <c r="N195" s="52" t="s">
        <v>241</v>
      </c>
      <c r="O195" s="52" t="s">
        <v>1471</v>
      </c>
      <c r="P195" s="53" t="s">
        <v>344</v>
      </c>
      <c r="Q195" s="52">
        <v>796</v>
      </c>
      <c r="R195" s="52" t="s">
        <v>1818</v>
      </c>
      <c r="S195" s="54">
        <v>2</v>
      </c>
      <c r="T195" s="54">
        <f t="shared" si="19"/>
        <v>832.45614035087726</v>
      </c>
      <c r="U195" s="54">
        <f t="shared" si="20"/>
        <v>1694.6428571428573</v>
      </c>
      <c r="V195" s="54">
        <v>1898</v>
      </c>
      <c r="W195" s="52"/>
      <c r="X195" s="52">
        <v>2012</v>
      </c>
      <c r="Y195" s="52"/>
    </row>
    <row r="196" spans="2:26" s="55" customFormat="1" ht="114.75">
      <c r="B196" s="52" t="s">
        <v>956</v>
      </c>
      <c r="C196" s="78" t="s">
        <v>246</v>
      </c>
      <c r="D196" s="52" t="s">
        <v>281</v>
      </c>
      <c r="E196" s="56" t="s">
        <v>2452</v>
      </c>
      <c r="F196" s="56" t="s">
        <v>2221</v>
      </c>
      <c r="G196" s="56"/>
      <c r="H196" s="52" t="s">
        <v>243</v>
      </c>
      <c r="I196" s="52">
        <v>0</v>
      </c>
      <c r="J196" s="52">
        <v>751000000</v>
      </c>
      <c r="K196" s="53" t="s">
        <v>2290</v>
      </c>
      <c r="L196" s="52" t="s">
        <v>1471</v>
      </c>
      <c r="M196" s="53" t="s">
        <v>2290</v>
      </c>
      <c r="N196" s="52" t="s">
        <v>241</v>
      </c>
      <c r="O196" s="52" t="s">
        <v>1471</v>
      </c>
      <c r="P196" s="53" t="s">
        <v>344</v>
      </c>
      <c r="Q196" s="52">
        <v>796</v>
      </c>
      <c r="R196" s="52" t="s">
        <v>1818</v>
      </c>
      <c r="S196" s="54">
        <v>1</v>
      </c>
      <c r="T196" s="54">
        <f t="shared" si="19"/>
        <v>562.28070175438597</v>
      </c>
      <c r="U196" s="54">
        <f t="shared" si="20"/>
        <v>572.32142857142856</v>
      </c>
      <c r="V196" s="54">
        <v>641</v>
      </c>
      <c r="W196" s="52"/>
      <c r="X196" s="52">
        <v>2012</v>
      </c>
      <c r="Y196" s="52"/>
    </row>
    <row r="197" spans="2:26" s="55" customFormat="1" ht="114.75">
      <c r="B197" s="52" t="s">
        <v>957</v>
      </c>
      <c r="C197" s="78" t="s">
        <v>246</v>
      </c>
      <c r="D197" s="58" t="s">
        <v>249</v>
      </c>
      <c r="E197" s="56" t="s">
        <v>1899</v>
      </c>
      <c r="F197" s="56" t="s">
        <v>2222</v>
      </c>
      <c r="G197" s="56"/>
      <c r="H197" s="52" t="s">
        <v>243</v>
      </c>
      <c r="I197" s="52">
        <v>0</v>
      </c>
      <c r="J197" s="52">
        <v>751000000</v>
      </c>
      <c r="K197" s="53" t="s">
        <v>2290</v>
      </c>
      <c r="L197" s="52" t="s">
        <v>1471</v>
      </c>
      <c r="M197" s="53" t="s">
        <v>2290</v>
      </c>
      <c r="N197" s="52" t="s">
        <v>241</v>
      </c>
      <c r="O197" s="52" t="s">
        <v>1471</v>
      </c>
      <c r="P197" s="53" t="s">
        <v>344</v>
      </c>
      <c r="Q197" s="52">
        <v>796</v>
      </c>
      <c r="R197" s="52" t="s">
        <v>1818</v>
      </c>
      <c r="S197" s="54">
        <v>2</v>
      </c>
      <c r="T197" s="54">
        <f t="shared" si="19"/>
        <v>452.63157894736838</v>
      </c>
      <c r="U197" s="54">
        <f t="shared" si="20"/>
        <v>921.42857142857133</v>
      </c>
      <c r="V197" s="54">
        <v>1032</v>
      </c>
      <c r="W197" s="52"/>
      <c r="X197" s="52">
        <v>2012</v>
      </c>
      <c r="Y197" s="52"/>
    </row>
    <row r="198" spans="2:26" s="55" customFormat="1" ht="114.75">
      <c r="B198" s="52" t="s">
        <v>958</v>
      </c>
      <c r="C198" s="78" t="s">
        <v>246</v>
      </c>
      <c r="D198" s="52" t="s">
        <v>255</v>
      </c>
      <c r="E198" s="56" t="s">
        <v>1900</v>
      </c>
      <c r="F198" s="56" t="s">
        <v>2223</v>
      </c>
      <c r="G198" s="56"/>
      <c r="H198" s="52" t="s">
        <v>243</v>
      </c>
      <c r="I198" s="52">
        <v>0</v>
      </c>
      <c r="J198" s="52">
        <v>751000000</v>
      </c>
      <c r="K198" s="53" t="s">
        <v>2290</v>
      </c>
      <c r="L198" s="52" t="s">
        <v>1471</v>
      </c>
      <c r="M198" s="53" t="s">
        <v>2290</v>
      </c>
      <c r="N198" s="52" t="s">
        <v>241</v>
      </c>
      <c r="O198" s="52" t="s">
        <v>1471</v>
      </c>
      <c r="P198" s="53" t="s">
        <v>344</v>
      </c>
      <c r="Q198" s="52">
        <v>796</v>
      </c>
      <c r="R198" s="52" t="s">
        <v>1818</v>
      </c>
      <c r="S198" s="54">
        <v>10</v>
      </c>
      <c r="T198" s="54">
        <f t="shared" si="19"/>
        <v>271.92982456140351</v>
      </c>
      <c r="U198" s="54">
        <f t="shared" si="20"/>
        <v>2767.8571428571427</v>
      </c>
      <c r="V198" s="54">
        <v>3100</v>
      </c>
      <c r="W198" s="52"/>
      <c r="X198" s="52">
        <v>2012</v>
      </c>
      <c r="Y198" s="52"/>
    </row>
    <row r="199" spans="2:26" s="55" customFormat="1" ht="114.75">
      <c r="B199" s="52" t="s">
        <v>959</v>
      </c>
      <c r="C199" s="78" t="s">
        <v>246</v>
      </c>
      <c r="D199" s="52" t="s">
        <v>275</v>
      </c>
      <c r="E199" s="56" t="s">
        <v>1901</v>
      </c>
      <c r="F199" s="56" t="s">
        <v>2224</v>
      </c>
      <c r="G199" s="56"/>
      <c r="H199" s="52" t="s">
        <v>243</v>
      </c>
      <c r="I199" s="52">
        <v>0</v>
      </c>
      <c r="J199" s="52">
        <v>751000000</v>
      </c>
      <c r="K199" s="53" t="s">
        <v>2290</v>
      </c>
      <c r="L199" s="52" t="s">
        <v>1471</v>
      </c>
      <c r="M199" s="53" t="s">
        <v>2290</v>
      </c>
      <c r="N199" s="52" t="s">
        <v>241</v>
      </c>
      <c r="O199" s="52" t="s">
        <v>1471</v>
      </c>
      <c r="P199" s="53" t="s">
        <v>344</v>
      </c>
      <c r="Q199" s="52">
        <v>796</v>
      </c>
      <c r="R199" s="52" t="s">
        <v>1818</v>
      </c>
      <c r="S199" s="54">
        <v>1</v>
      </c>
      <c r="T199" s="54">
        <f t="shared" si="19"/>
        <v>1037.719298245614</v>
      </c>
      <c r="U199" s="54">
        <f t="shared" si="20"/>
        <v>1056.25</v>
      </c>
      <c r="V199" s="54">
        <v>1183</v>
      </c>
      <c r="W199" s="52"/>
      <c r="X199" s="52">
        <v>2012</v>
      </c>
      <c r="Y199" s="52"/>
      <c r="Z199" s="182"/>
    </row>
    <row r="200" spans="2:26" s="55" customFormat="1" ht="114.75">
      <c r="B200" s="52" t="s">
        <v>960</v>
      </c>
      <c r="C200" s="78" t="s">
        <v>246</v>
      </c>
      <c r="D200" s="52" t="s">
        <v>275</v>
      </c>
      <c r="E200" s="56" t="s">
        <v>2225</v>
      </c>
      <c r="F200" s="56" t="s">
        <v>2226</v>
      </c>
      <c r="G200" s="56"/>
      <c r="H200" s="52" t="s">
        <v>243</v>
      </c>
      <c r="I200" s="52">
        <v>0</v>
      </c>
      <c r="J200" s="52">
        <v>751000000</v>
      </c>
      <c r="K200" s="53" t="s">
        <v>2290</v>
      </c>
      <c r="L200" s="52" t="s">
        <v>1471</v>
      </c>
      <c r="M200" s="53" t="s">
        <v>2290</v>
      </c>
      <c r="N200" s="52" t="s">
        <v>241</v>
      </c>
      <c r="O200" s="52" t="s">
        <v>1471</v>
      </c>
      <c r="P200" s="53" t="s">
        <v>344</v>
      </c>
      <c r="Q200" s="52">
        <v>796</v>
      </c>
      <c r="R200" s="52" t="s">
        <v>2227</v>
      </c>
      <c r="S200" s="54">
        <v>3</v>
      </c>
      <c r="T200" s="54">
        <f>V200/3</f>
        <v>3116.6666666666665</v>
      </c>
      <c r="U200" s="54">
        <f t="shared" si="20"/>
        <v>8348.2142857142862</v>
      </c>
      <c r="V200" s="54">
        <v>9350</v>
      </c>
      <c r="W200" s="52"/>
      <c r="X200" s="52">
        <v>2012</v>
      </c>
      <c r="Y200" s="52"/>
      <c r="Z200" s="183"/>
    </row>
    <row r="201" spans="2:26" s="55" customFormat="1" ht="114.75">
      <c r="B201" s="52" t="s">
        <v>961</v>
      </c>
      <c r="C201" s="78" t="s">
        <v>246</v>
      </c>
      <c r="D201" s="58" t="s">
        <v>347</v>
      </c>
      <c r="E201" s="56" t="s">
        <v>2228</v>
      </c>
      <c r="F201" s="56" t="s">
        <v>2229</v>
      </c>
      <c r="G201" s="56"/>
      <c r="H201" s="52" t="s">
        <v>243</v>
      </c>
      <c r="I201" s="52">
        <v>0</v>
      </c>
      <c r="J201" s="52">
        <v>751000000</v>
      </c>
      <c r="K201" s="53" t="s">
        <v>2290</v>
      </c>
      <c r="L201" s="52" t="s">
        <v>1471</v>
      </c>
      <c r="M201" s="53" t="s">
        <v>2290</v>
      </c>
      <c r="N201" s="52" t="s">
        <v>241</v>
      </c>
      <c r="O201" s="52" t="s">
        <v>1471</v>
      </c>
      <c r="P201" s="53" t="s">
        <v>344</v>
      </c>
      <c r="Q201" s="52">
        <v>796</v>
      </c>
      <c r="R201" s="52" t="s">
        <v>1818</v>
      </c>
      <c r="S201" s="54">
        <v>10</v>
      </c>
      <c r="T201" s="54">
        <v>1830</v>
      </c>
      <c r="U201" s="54">
        <f t="shared" si="20"/>
        <v>16339.285714285714</v>
      </c>
      <c r="V201" s="54">
        <v>18300</v>
      </c>
      <c r="W201" s="52"/>
      <c r="X201" s="52">
        <v>2012</v>
      </c>
      <c r="Y201" s="52"/>
    </row>
    <row r="202" spans="2:26" s="55" customFormat="1" ht="114.75">
      <c r="B202" s="52" t="s">
        <v>962</v>
      </c>
      <c r="C202" s="78" t="s">
        <v>246</v>
      </c>
      <c r="D202" s="57" t="s">
        <v>259</v>
      </c>
      <c r="E202" s="56" t="s">
        <v>2230</v>
      </c>
      <c r="F202" s="56" t="s">
        <v>2453</v>
      </c>
      <c r="G202" s="56"/>
      <c r="H202" s="52" t="s">
        <v>243</v>
      </c>
      <c r="I202" s="52">
        <v>0</v>
      </c>
      <c r="J202" s="52">
        <v>751000000</v>
      </c>
      <c r="K202" s="53" t="s">
        <v>2290</v>
      </c>
      <c r="L202" s="52" t="s">
        <v>1471</v>
      </c>
      <c r="M202" s="53" t="s">
        <v>2290</v>
      </c>
      <c r="N202" s="52" t="s">
        <v>241</v>
      </c>
      <c r="O202" s="52" t="s">
        <v>1471</v>
      </c>
      <c r="P202" s="53" t="s">
        <v>344</v>
      </c>
      <c r="Q202" s="52">
        <v>796</v>
      </c>
      <c r="R202" s="52" t="s">
        <v>1997</v>
      </c>
      <c r="S202" s="54">
        <v>5</v>
      </c>
      <c r="T202" s="54">
        <f>V202/5</f>
        <v>4578</v>
      </c>
      <c r="U202" s="54">
        <f t="shared" si="20"/>
        <v>20437.5</v>
      </c>
      <c r="V202" s="54">
        <v>22890</v>
      </c>
      <c r="W202" s="52"/>
      <c r="X202" s="52">
        <v>2012</v>
      </c>
      <c r="Y202" s="52"/>
    </row>
    <row r="203" spans="2:26" s="55" customFormat="1" ht="114.75">
      <c r="B203" s="52" t="s">
        <v>963</v>
      </c>
      <c r="C203" s="78" t="s">
        <v>246</v>
      </c>
      <c r="D203" s="57" t="s">
        <v>259</v>
      </c>
      <c r="E203" s="56" t="s">
        <v>1902</v>
      </c>
      <c r="F203" s="56" t="s">
        <v>2231</v>
      </c>
      <c r="G203" s="56"/>
      <c r="H203" s="52" t="s">
        <v>243</v>
      </c>
      <c r="I203" s="52">
        <v>0</v>
      </c>
      <c r="J203" s="52">
        <v>751000000</v>
      </c>
      <c r="K203" s="53" t="s">
        <v>2290</v>
      </c>
      <c r="L203" s="52" t="s">
        <v>1471</v>
      </c>
      <c r="M203" s="53" t="s">
        <v>2290</v>
      </c>
      <c r="N203" s="52" t="s">
        <v>241</v>
      </c>
      <c r="O203" s="52" t="s">
        <v>1471</v>
      </c>
      <c r="P203" s="53" t="s">
        <v>344</v>
      </c>
      <c r="Q203" s="52">
        <v>796</v>
      </c>
      <c r="R203" s="52" t="s">
        <v>1818</v>
      </c>
      <c r="S203" s="54">
        <v>1</v>
      </c>
      <c r="T203" s="54">
        <f t="shared" ref="T203:T253" si="21">V203/114*100/S203</f>
        <v>14197.368421052633</v>
      </c>
      <c r="U203" s="54">
        <f t="shared" si="20"/>
        <v>14450.892857142859</v>
      </c>
      <c r="V203" s="54">
        <v>16185</v>
      </c>
      <c r="W203" s="52"/>
      <c r="X203" s="52">
        <v>2012</v>
      </c>
      <c r="Y203" s="52"/>
    </row>
    <row r="204" spans="2:26" s="55" customFormat="1" ht="114.75">
      <c r="B204" s="52" t="s">
        <v>964</v>
      </c>
      <c r="C204" s="78" t="s">
        <v>246</v>
      </c>
      <c r="D204" s="57" t="s">
        <v>259</v>
      </c>
      <c r="E204" s="56" t="s">
        <v>1903</v>
      </c>
      <c r="F204" s="56" t="s">
        <v>2232</v>
      </c>
      <c r="G204" s="56"/>
      <c r="H204" s="52" t="s">
        <v>243</v>
      </c>
      <c r="I204" s="52">
        <v>0</v>
      </c>
      <c r="J204" s="52">
        <v>751000000</v>
      </c>
      <c r="K204" s="53" t="s">
        <v>2290</v>
      </c>
      <c r="L204" s="52" t="s">
        <v>1471</v>
      </c>
      <c r="M204" s="53" t="s">
        <v>2290</v>
      </c>
      <c r="N204" s="52" t="s">
        <v>241</v>
      </c>
      <c r="O204" s="52" t="s">
        <v>1471</v>
      </c>
      <c r="P204" s="53" t="s">
        <v>344</v>
      </c>
      <c r="Q204" s="52">
        <v>796</v>
      </c>
      <c r="R204" s="52" t="s">
        <v>348</v>
      </c>
      <c r="S204" s="54">
        <v>1</v>
      </c>
      <c r="T204" s="54">
        <f t="shared" si="21"/>
        <v>3911.4035087719303</v>
      </c>
      <c r="U204" s="54">
        <f t="shared" si="20"/>
        <v>3981.25</v>
      </c>
      <c r="V204" s="54">
        <v>4459</v>
      </c>
      <c r="W204" s="52"/>
      <c r="X204" s="52">
        <v>2012</v>
      </c>
      <c r="Y204" s="52"/>
    </row>
    <row r="205" spans="2:26" s="55" customFormat="1" ht="114.75">
      <c r="B205" s="52" t="s">
        <v>965</v>
      </c>
      <c r="C205" s="78" t="s">
        <v>246</v>
      </c>
      <c r="D205" s="52" t="s">
        <v>276</v>
      </c>
      <c r="E205" s="56" t="s">
        <v>1904</v>
      </c>
      <c r="F205" s="56" t="s">
        <v>2233</v>
      </c>
      <c r="G205" s="56"/>
      <c r="H205" s="52" t="s">
        <v>243</v>
      </c>
      <c r="I205" s="52">
        <v>80</v>
      </c>
      <c r="J205" s="52">
        <v>751000000</v>
      </c>
      <c r="K205" s="53" t="s">
        <v>2290</v>
      </c>
      <c r="L205" s="52" t="s">
        <v>1471</v>
      </c>
      <c r="M205" s="53" t="s">
        <v>2290</v>
      </c>
      <c r="N205" s="52" t="s">
        <v>241</v>
      </c>
      <c r="O205" s="52" t="s">
        <v>1471</v>
      </c>
      <c r="P205" s="53" t="s">
        <v>344</v>
      </c>
      <c r="Q205" s="52">
        <v>5111</v>
      </c>
      <c r="R205" s="52" t="s">
        <v>1818</v>
      </c>
      <c r="S205" s="54">
        <v>1</v>
      </c>
      <c r="T205" s="54">
        <f t="shared" si="21"/>
        <v>4825.4385964912281</v>
      </c>
      <c r="U205" s="54">
        <f t="shared" si="20"/>
        <v>4911.6071428571431</v>
      </c>
      <c r="V205" s="54">
        <v>5501</v>
      </c>
      <c r="W205" s="52"/>
      <c r="X205" s="52">
        <v>2012</v>
      </c>
      <c r="Y205" s="52"/>
    </row>
    <row r="206" spans="2:26" s="55" customFormat="1" ht="114.75">
      <c r="B206" s="52" t="s">
        <v>966</v>
      </c>
      <c r="C206" s="78" t="s">
        <v>246</v>
      </c>
      <c r="D206" s="52" t="s">
        <v>276</v>
      </c>
      <c r="E206" s="56" t="s">
        <v>1905</v>
      </c>
      <c r="F206" s="56" t="s">
        <v>2234</v>
      </c>
      <c r="G206" s="56"/>
      <c r="H206" s="52" t="s">
        <v>243</v>
      </c>
      <c r="I206" s="52">
        <v>0</v>
      </c>
      <c r="J206" s="52">
        <v>751000000</v>
      </c>
      <c r="K206" s="53" t="s">
        <v>2290</v>
      </c>
      <c r="L206" s="52" t="s">
        <v>1471</v>
      </c>
      <c r="M206" s="53" t="s">
        <v>2290</v>
      </c>
      <c r="N206" s="52" t="s">
        <v>241</v>
      </c>
      <c r="O206" s="52" t="s">
        <v>1471</v>
      </c>
      <c r="P206" s="53" t="s">
        <v>344</v>
      </c>
      <c r="Q206" s="52">
        <v>796</v>
      </c>
      <c r="R206" s="52" t="s">
        <v>1818</v>
      </c>
      <c r="S206" s="54">
        <v>1</v>
      </c>
      <c r="T206" s="54">
        <f t="shared" si="21"/>
        <v>331.57894736842104</v>
      </c>
      <c r="U206" s="54">
        <f t="shared" si="20"/>
        <v>337.5</v>
      </c>
      <c r="V206" s="54">
        <v>378</v>
      </c>
      <c r="W206" s="52"/>
      <c r="X206" s="52">
        <v>2012</v>
      </c>
      <c r="Y206" s="52"/>
    </row>
    <row r="207" spans="2:26" s="55" customFormat="1" ht="114.75">
      <c r="B207" s="52" t="s">
        <v>967</v>
      </c>
      <c r="C207" s="78" t="s">
        <v>246</v>
      </c>
      <c r="D207" s="57" t="s">
        <v>259</v>
      </c>
      <c r="E207" s="56" t="s">
        <v>1906</v>
      </c>
      <c r="F207" s="56" t="s">
        <v>2235</v>
      </c>
      <c r="G207" s="56"/>
      <c r="H207" s="52" t="s">
        <v>243</v>
      </c>
      <c r="I207" s="52">
        <v>0</v>
      </c>
      <c r="J207" s="52">
        <v>751000000</v>
      </c>
      <c r="K207" s="53" t="s">
        <v>2290</v>
      </c>
      <c r="L207" s="52" t="s">
        <v>1471</v>
      </c>
      <c r="M207" s="53" t="s">
        <v>2290</v>
      </c>
      <c r="N207" s="52" t="s">
        <v>241</v>
      </c>
      <c r="O207" s="52" t="s">
        <v>1471</v>
      </c>
      <c r="P207" s="53" t="s">
        <v>344</v>
      </c>
      <c r="Q207" s="52">
        <v>796</v>
      </c>
      <c r="R207" s="52" t="s">
        <v>1818</v>
      </c>
      <c r="S207" s="54">
        <v>1</v>
      </c>
      <c r="T207" s="54">
        <f t="shared" si="21"/>
        <v>1351.7543859649122</v>
      </c>
      <c r="U207" s="54">
        <f t="shared" si="20"/>
        <v>1375.8928571428571</v>
      </c>
      <c r="V207" s="54">
        <v>1541</v>
      </c>
      <c r="W207" s="52"/>
      <c r="X207" s="52">
        <v>2012</v>
      </c>
      <c r="Y207" s="52"/>
    </row>
    <row r="208" spans="2:26" s="55" customFormat="1" ht="114.75">
      <c r="B208" s="52" t="s">
        <v>968</v>
      </c>
      <c r="C208" s="78" t="s">
        <v>246</v>
      </c>
      <c r="D208" s="52" t="s">
        <v>280</v>
      </c>
      <c r="E208" s="56" t="s">
        <v>1907</v>
      </c>
      <c r="F208" s="56" t="s">
        <v>2236</v>
      </c>
      <c r="G208" s="56"/>
      <c r="H208" s="52" t="s">
        <v>243</v>
      </c>
      <c r="I208" s="52">
        <v>0</v>
      </c>
      <c r="J208" s="52">
        <v>751000000</v>
      </c>
      <c r="K208" s="53" t="s">
        <v>2290</v>
      </c>
      <c r="L208" s="52" t="s">
        <v>1471</v>
      </c>
      <c r="M208" s="53" t="s">
        <v>2290</v>
      </c>
      <c r="N208" s="52" t="s">
        <v>241</v>
      </c>
      <c r="O208" s="52" t="s">
        <v>1471</v>
      </c>
      <c r="P208" s="53" t="s">
        <v>344</v>
      </c>
      <c r="Q208" s="52">
        <v>796</v>
      </c>
      <c r="R208" s="52" t="s">
        <v>1818</v>
      </c>
      <c r="S208" s="54">
        <v>1</v>
      </c>
      <c r="T208" s="54">
        <f t="shared" si="21"/>
        <v>407.01754385964915</v>
      </c>
      <c r="U208" s="54">
        <f t="shared" si="20"/>
        <v>414.28571428571433</v>
      </c>
      <c r="V208" s="54">
        <v>464</v>
      </c>
      <c r="W208" s="52"/>
      <c r="X208" s="52">
        <v>2012</v>
      </c>
      <c r="Y208" s="52"/>
    </row>
    <row r="209" spans="2:25" s="55" customFormat="1" ht="114.75">
      <c r="B209" s="52" t="s">
        <v>969</v>
      </c>
      <c r="C209" s="78" t="s">
        <v>246</v>
      </c>
      <c r="D209" s="52" t="s">
        <v>274</v>
      </c>
      <c r="E209" s="56" t="s">
        <v>109</v>
      </c>
      <c r="F209" s="56" t="s">
        <v>2232</v>
      </c>
      <c r="G209" s="56"/>
      <c r="H209" s="52" t="s">
        <v>243</v>
      </c>
      <c r="I209" s="52">
        <v>0</v>
      </c>
      <c r="J209" s="52">
        <v>751000000</v>
      </c>
      <c r="K209" s="53" t="s">
        <v>2290</v>
      </c>
      <c r="L209" s="52" t="s">
        <v>1471</v>
      </c>
      <c r="M209" s="53" t="s">
        <v>2290</v>
      </c>
      <c r="N209" s="52" t="s">
        <v>241</v>
      </c>
      <c r="O209" s="52" t="s">
        <v>1471</v>
      </c>
      <c r="P209" s="53" t="s">
        <v>344</v>
      </c>
      <c r="Q209" s="58" t="s">
        <v>1432</v>
      </c>
      <c r="R209" s="52" t="s">
        <v>2454</v>
      </c>
      <c r="S209" s="54">
        <v>2</v>
      </c>
      <c r="T209" s="54">
        <f t="shared" si="21"/>
        <v>1133.3333333333335</v>
      </c>
      <c r="U209" s="54">
        <f t="shared" si="20"/>
        <v>2307.1428571428573</v>
      </c>
      <c r="V209" s="54">
        <v>2584</v>
      </c>
      <c r="W209" s="52"/>
      <c r="X209" s="52">
        <v>2012</v>
      </c>
      <c r="Y209" s="52"/>
    </row>
    <row r="210" spans="2:25" s="55" customFormat="1" ht="114.75">
      <c r="B210" s="52" t="s">
        <v>970</v>
      </c>
      <c r="C210" s="78" t="s">
        <v>246</v>
      </c>
      <c r="D210" s="57" t="s">
        <v>259</v>
      </c>
      <c r="E210" s="56" t="s">
        <v>113</v>
      </c>
      <c r="F210" s="56" t="s">
        <v>2237</v>
      </c>
      <c r="G210" s="56"/>
      <c r="H210" s="52" t="s">
        <v>243</v>
      </c>
      <c r="I210" s="52">
        <v>0</v>
      </c>
      <c r="J210" s="52">
        <v>751000000</v>
      </c>
      <c r="K210" s="53" t="s">
        <v>2290</v>
      </c>
      <c r="L210" s="52" t="s">
        <v>1471</v>
      </c>
      <c r="M210" s="53" t="s">
        <v>2290</v>
      </c>
      <c r="N210" s="52" t="s">
        <v>241</v>
      </c>
      <c r="O210" s="52" t="s">
        <v>1471</v>
      </c>
      <c r="P210" s="53" t="s">
        <v>344</v>
      </c>
      <c r="Q210" s="52">
        <v>796</v>
      </c>
      <c r="R210" s="52" t="s">
        <v>1818</v>
      </c>
      <c r="S210" s="54">
        <v>2</v>
      </c>
      <c r="T210" s="54">
        <f t="shared" si="21"/>
        <v>373.68421052631578</v>
      </c>
      <c r="U210" s="54">
        <f t="shared" si="20"/>
        <v>760.71428571428567</v>
      </c>
      <c r="V210" s="54">
        <v>852</v>
      </c>
      <c r="W210" s="52"/>
      <c r="X210" s="52">
        <v>2012</v>
      </c>
      <c r="Y210" s="52"/>
    </row>
    <row r="211" spans="2:25" s="55" customFormat="1" ht="114.75">
      <c r="B211" s="52" t="s">
        <v>971</v>
      </c>
      <c r="C211" s="78" t="s">
        <v>246</v>
      </c>
      <c r="D211" s="57" t="s">
        <v>259</v>
      </c>
      <c r="E211" s="56" t="s">
        <v>112</v>
      </c>
      <c r="F211" s="56" t="s">
        <v>2238</v>
      </c>
      <c r="G211" s="56"/>
      <c r="H211" s="52" t="s">
        <v>243</v>
      </c>
      <c r="I211" s="52">
        <v>0</v>
      </c>
      <c r="J211" s="52">
        <v>751000000</v>
      </c>
      <c r="K211" s="53" t="s">
        <v>2290</v>
      </c>
      <c r="L211" s="52" t="s">
        <v>1471</v>
      </c>
      <c r="M211" s="53" t="s">
        <v>2290</v>
      </c>
      <c r="N211" s="52" t="s">
        <v>241</v>
      </c>
      <c r="O211" s="52" t="s">
        <v>1471</v>
      </c>
      <c r="P211" s="53" t="s">
        <v>344</v>
      </c>
      <c r="Q211" s="52">
        <v>796</v>
      </c>
      <c r="R211" s="52" t="s">
        <v>1818</v>
      </c>
      <c r="S211" s="54">
        <v>1</v>
      </c>
      <c r="T211" s="54">
        <f t="shared" si="21"/>
        <v>2972.8070175438597</v>
      </c>
      <c r="U211" s="54">
        <f t="shared" si="20"/>
        <v>3025.8928571428573</v>
      </c>
      <c r="V211" s="54">
        <v>3389</v>
      </c>
      <c r="W211" s="52"/>
      <c r="X211" s="52">
        <v>2012</v>
      </c>
      <c r="Y211" s="52"/>
    </row>
    <row r="212" spans="2:25" s="55" customFormat="1" ht="114.75">
      <c r="B212" s="52" t="s">
        <v>972</v>
      </c>
      <c r="C212" s="78" t="s">
        <v>246</v>
      </c>
      <c r="D212" s="57" t="s">
        <v>259</v>
      </c>
      <c r="E212" s="56" t="s">
        <v>1908</v>
      </c>
      <c r="F212" s="56" t="s">
        <v>2239</v>
      </c>
      <c r="G212" s="56"/>
      <c r="H212" s="52" t="s">
        <v>243</v>
      </c>
      <c r="I212" s="52">
        <v>0</v>
      </c>
      <c r="J212" s="52">
        <v>751000000</v>
      </c>
      <c r="K212" s="53" t="s">
        <v>2290</v>
      </c>
      <c r="L212" s="52" t="s">
        <v>1471</v>
      </c>
      <c r="M212" s="53" t="s">
        <v>2290</v>
      </c>
      <c r="N212" s="52" t="s">
        <v>241</v>
      </c>
      <c r="O212" s="52" t="s">
        <v>1471</v>
      </c>
      <c r="P212" s="53" t="s">
        <v>344</v>
      </c>
      <c r="Q212" s="52">
        <v>796</v>
      </c>
      <c r="R212" s="52" t="s">
        <v>1818</v>
      </c>
      <c r="S212" s="54">
        <v>1</v>
      </c>
      <c r="T212" s="54">
        <f t="shared" si="21"/>
        <v>1079.8245614035088</v>
      </c>
      <c r="U212" s="54">
        <f t="shared" si="20"/>
        <v>1099.1071428571429</v>
      </c>
      <c r="V212" s="54">
        <v>1231</v>
      </c>
      <c r="W212" s="52"/>
      <c r="X212" s="52">
        <v>2012</v>
      </c>
      <c r="Y212" s="52"/>
    </row>
    <row r="213" spans="2:25" s="55" customFormat="1" ht="114.75">
      <c r="B213" s="52" t="s">
        <v>973</v>
      </c>
      <c r="C213" s="78" t="s">
        <v>246</v>
      </c>
      <c r="D213" s="52" t="s">
        <v>282</v>
      </c>
      <c r="E213" s="56" t="s">
        <v>1909</v>
      </c>
      <c r="F213" s="56" t="s">
        <v>2240</v>
      </c>
      <c r="G213" s="56"/>
      <c r="H213" s="52" t="s">
        <v>243</v>
      </c>
      <c r="I213" s="52">
        <v>0</v>
      </c>
      <c r="J213" s="52">
        <v>751000000</v>
      </c>
      <c r="K213" s="53" t="s">
        <v>2290</v>
      </c>
      <c r="L213" s="52" t="s">
        <v>1471</v>
      </c>
      <c r="M213" s="53" t="s">
        <v>2290</v>
      </c>
      <c r="N213" s="52" t="s">
        <v>241</v>
      </c>
      <c r="O213" s="52" t="s">
        <v>1471</v>
      </c>
      <c r="P213" s="53" t="s">
        <v>344</v>
      </c>
      <c r="Q213" s="52">
        <v>796</v>
      </c>
      <c r="R213" s="52" t="s">
        <v>1818</v>
      </c>
      <c r="S213" s="54">
        <v>1</v>
      </c>
      <c r="T213" s="54">
        <f t="shared" si="21"/>
        <v>5438.5964912280697</v>
      </c>
      <c r="U213" s="54">
        <f t="shared" si="20"/>
        <v>5535.7142857142853</v>
      </c>
      <c r="V213" s="54">
        <v>6200</v>
      </c>
      <c r="W213" s="52"/>
      <c r="X213" s="52">
        <v>2012</v>
      </c>
      <c r="Y213" s="52"/>
    </row>
    <row r="214" spans="2:25" s="55" customFormat="1" ht="114.75">
      <c r="B214" s="52" t="s">
        <v>974</v>
      </c>
      <c r="C214" s="78" t="s">
        <v>246</v>
      </c>
      <c r="D214" s="58" t="s">
        <v>272</v>
      </c>
      <c r="E214" s="56" t="s">
        <v>1910</v>
      </c>
      <c r="F214" s="56" t="s">
        <v>2239</v>
      </c>
      <c r="G214" s="56"/>
      <c r="H214" s="52" t="s">
        <v>243</v>
      </c>
      <c r="I214" s="52">
        <v>0</v>
      </c>
      <c r="J214" s="52">
        <v>751000000</v>
      </c>
      <c r="K214" s="53" t="s">
        <v>2290</v>
      </c>
      <c r="L214" s="52" t="s">
        <v>1471</v>
      </c>
      <c r="M214" s="53" t="s">
        <v>2290</v>
      </c>
      <c r="N214" s="52" t="s">
        <v>241</v>
      </c>
      <c r="O214" s="52" t="s">
        <v>1471</v>
      </c>
      <c r="P214" s="53" t="s">
        <v>344</v>
      </c>
      <c r="Q214" s="52">
        <v>796</v>
      </c>
      <c r="R214" s="52" t="s">
        <v>1818</v>
      </c>
      <c r="S214" s="54">
        <v>1</v>
      </c>
      <c r="T214" s="54">
        <f t="shared" si="21"/>
        <v>1397.3684210526314</v>
      </c>
      <c r="U214" s="54">
        <f t="shared" si="20"/>
        <v>1422.3214285714287</v>
      </c>
      <c r="V214" s="54">
        <v>1593</v>
      </c>
      <c r="W214" s="52"/>
      <c r="X214" s="52">
        <v>2012</v>
      </c>
      <c r="Y214" s="52"/>
    </row>
    <row r="215" spans="2:25" s="55" customFormat="1" ht="114.75">
      <c r="B215" s="52" t="s">
        <v>975</v>
      </c>
      <c r="C215" s="78" t="s">
        <v>246</v>
      </c>
      <c r="D215" s="57" t="s">
        <v>258</v>
      </c>
      <c r="E215" s="56" t="s">
        <v>111</v>
      </c>
      <c r="F215" s="56" t="s">
        <v>2241</v>
      </c>
      <c r="G215" s="56"/>
      <c r="H215" s="52" t="s">
        <v>243</v>
      </c>
      <c r="I215" s="52">
        <v>0</v>
      </c>
      <c r="J215" s="52">
        <v>751000000</v>
      </c>
      <c r="K215" s="53" t="s">
        <v>2290</v>
      </c>
      <c r="L215" s="52" t="s">
        <v>1471</v>
      </c>
      <c r="M215" s="53" t="s">
        <v>2290</v>
      </c>
      <c r="N215" s="52" t="s">
        <v>241</v>
      </c>
      <c r="O215" s="52" t="s">
        <v>1471</v>
      </c>
      <c r="P215" s="53" t="s">
        <v>344</v>
      </c>
      <c r="Q215" s="52">
        <v>796</v>
      </c>
      <c r="R215" s="52" t="s">
        <v>1818</v>
      </c>
      <c r="S215" s="54">
        <v>1</v>
      </c>
      <c r="T215" s="54">
        <f t="shared" si="21"/>
        <v>128.07017543859649</v>
      </c>
      <c r="U215" s="54">
        <f t="shared" si="20"/>
        <v>130.35714285714286</v>
      </c>
      <c r="V215" s="54">
        <v>146</v>
      </c>
      <c r="W215" s="52"/>
      <c r="X215" s="52">
        <v>2012</v>
      </c>
      <c r="Y215" s="52"/>
    </row>
    <row r="216" spans="2:25" s="55" customFormat="1" ht="114.75">
      <c r="B216" s="52" t="s">
        <v>976</v>
      </c>
      <c r="C216" s="78" t="s">
        <v>246</v>
      </c>
      <c r="D216" s="57" t="s">
        <v>259</v>
      </c>
      <c r="E216" s="56" t="s">
        <v>1911</v>
      </c>
      <c r="F216" s="56" t="s">
        <v>2242</v>
      </c>
      <c r="G216" s="56"/>
      <c r="H216" s="52" t="s">
        <v>243</v>
      </c>
      <c r="I216" s="52">
        <v>0</v>
      </c>
      <c r="J216" s="52">
        <v>751000000</v>
      </c>
      <c r="K216" s="53" t="s">
        <v>2290</v>
      </c>
      <c r="L216" s="52" t="s">
        <v>1471</v>
      </c>
      <c r="M216" s="53" t="s">
        <v>2290</v>
      </c>
      <c r="N216" s="52" t="s">
        <v>241</v>
      </c>
      <c r="O216" s="52" t="s">
        <v>1471</v>
      </c>
      <c r="P216" s="53" t="s">
        <v>344</v>
      </c>
      <c r="Q216" s="52">
        <v>796</v>
      </c>
      <c r="R216" s="52" t="s">
        <v>1818</v>
      </c>
      <c r="S216" s="54">
        <v>1</v>
      </c>
      <c r="T216" s="54">
        <f t="shared" si="21"/>
        <v>593.85964912280701</v>
      </c>
      <c r="U216" s="54">
        <f t="shared" si="20"/>
        <v>604.46428571428567</v>
      </c>
      <c r="V216" s="54">
        <v>677</v>
      </c>
      <c r="W216" s="52"/>
      <c r="X216" s="52">
        <v>2012</v>
      </c>
      <c r="Y216" s="52"/>
    </row>
    <row r="217" spans="2:25" s="55" customFormat="1" ht="114.75">
      <c r="B217" s="52" t="s">
        <v>977</v>
      </c>
      <c r="C217" s="78" t="s">
        <v>246</v>
      </c>
      <c r="D217" s="57" t="s">
        <v>260</v>
      </c>
      <c r="E217" s="56" t="s">
        <v>108</v>
      </c>
      <c r="F217" s="56" t="s">
        <v>2243</v>
      </c>
      <c r="G217" s="56"/>
      <c r="H217" s="52" t="s">
        <v>243</v>
      </c>
      <c r="I217" s="52">
        <v>0</v>
      </c>
      <c r="J217" s="52">
        <v>751000000</v>
      </c>
      <c r="K217" s="53" t="s">
        <v>2290</v>
      </c>
      <c r="L217" s="52" t="s">
        <v>1471</v>
      </c>
      <c r="M217" s="53" t="s">
        <v>2290</v>
      </c>
      <c r="N217" s="52" t="s">
        <v>241</v>
      </c>
      <c r="O217" s="52" t="s">
        <v>1471</v>
      </c>
      <c r="P217" s="53" t="s">
        <v>344</v>
      </c>
      <c r="Q217" s="52">
        <v>796</v>
      </c>
      <c r="R217" s="52" t="s">
        <v>1818</v>
      </c>
      <c r="S217" s="54">
        <v>1</v>
      </c>
      <c r="T217" s="54">
        <f t="shared" si="21"/>
        <v>1128.9473684210525</v>
      </c>
      <c r="U217" s="54">
        <f t="shared" si="20"/>
        <v>1149.1071428571429</v>
      </c>
      <c r="V217" s="54">
        <v>1287</v>
      </c>
      <c r="W217" s="52"/>
      <c r="X217" s="52">
        <v>2012</v>
      </c>
      <c r="Y217" s="52"/>
    </row>
    <row r="218" spans="2:25" s="55" customFormat="1" ht="114.75">
      <c r="B218" s="52" t="s">
        <v>978</v>
      </c>
      <c r="C218" s="78" t="s">
        <v>246</v>
      </c>
      <c r="D218" s="52" t="s">
        <v>280</v>
      </c>
      <c r="E218" s="56" t="s">
        <v>107</v>
      </c>
      <c r="F218" s="56" t="s">
        <v>107</v>
      </c>
      <c r="G218" s="56"/>
      <c r="H218" s="52" t="s">
        <v>243</v>
      </c>
      <c r="I218" s="52">
        <v>0</v>
      </c>
      <c r="J218" s="52">
        <v>751000000</v>
      </c>
      <c r="K218" s="53" t="s">
        <v>2290</v>
      </c>
      <c r="L218" s="52" t="s">
        <v>1471</v>
      </c>
      <c r="M218" s="53" t="s">
        <v>2290</v>
      </c>
      <c r="N218" s="52" t="s">
        <v>241</v>
      </c>
      <c r="O218" s="52" t="s">
        <v>1471</v>
      </c>
      <c r="P218" s="53" t="s">
        <v>344</v>
      </c>
      <c r="Q218" s="52">
        <v>796</v>
      </c>
      <c r="R218" s="52" t="s">
        <v>1818</v>
      </c>
      <c r="S218" s="54">
        <v>1</v>
      </c>
      <c r="T218" s="54">
        <f t="shared" si="21"/>
        <v>1479.8245614035088</v>
      </c>
      <c r="U218" s="54">
        <f t="shared" si="20"/>
        <v>1506.25</v>
      </c>
      <c r="V218" s="54">
        <v>1687</v>
      </c>
      <c r="W218" s="52"/>
      <c r="X218" s="52">
        <v>2012</v>
      </c>
      <c r="Y218" s="52"/>
    </row>
    <row r="219" spans="2:25" s="55" customFormat="1" ht="114.75">
      <c r="B219" s="52" t="s">
        <v>979</v>
      </c>
      <c r="C219" s="78" t="s">
        <v>246</v>
      </c>
      <c r="D219" s="52" t="s">
        <v>280</v>
      </c>
      <c r="E219" s="56" t="s">
        <v>1912</v>
      </c>
      <c r="F219" s="56" t="s">
        <v>2244</v>
      </c>
      <c r="G219" s="56"/>
      <c r="H219" s="52" t="s">
        <v>243</v>
      </c>
      <c r="I219" s="52">
        <v>0</v>
      </c>
      <c r="J219" s="52">
        <v>751000000</v>
      </c>
      <c r="K219" s="53" t="s">
        <v>2290</v>
      </c>
      <c r="L219" s="52" t="s">
        <v>1471</v>
      </c>
      <c r="M219" s="53" t="s">
        <v>2290</v>
      </c>
      <c r="N219" s="52" t="s">
        <v>241</v>
      </c>
      <c r="O219" s="52" t="s">
        <v>1471</v>
      </c>
      <c r="P219" s="53" t="s">
        <v>344</v>
      </c>
      <c r="Q219" s="52">
        <v>796</v>
      </c>
      <c r="R219" s="52" t="s">
        <v>1997</v>
      </c>
      <c r="S219" s="54">
        <v>50</v>
      </c>
      <c r="T219" s="54">
        <f t="shared" si="21"/>
        <v>319.12280701754383</v>
      </c>
      <c r="U219" s="54">
        <f t="shared" si="20"/>
        <v>16241.071428571428</v>
      </c>
      <c r="V219" s="54">
        <v>18190</v>
      </c>
      <c r="W219" s="52"/>
      <c r="X219" s="52">
        <v>2012</v>
      </c>
      <c r="Y219" s="52"/>
    </row>
    <row r="220" spans="2:25" s="55" customFormat="1" ht="114.75">
      <c r="B220" s="52" t="s">
        <v>980</v>
      </c>
      <c r="C220" s="78" t="s">
        <v>246</v>
      </c>
      <c r="D220" s="52" t="s">
        <v>273</v>
      </c>
      <c r="E220" s="56" t="s">
        <v>1913</v>
      </c>
      <c r="F220" s="56" t="s">
        <v>2245</v>
      </c>
      <c r="G220" s="56"/>
      <c r="H220" s="52" t="s">
        <v>243</v>
      </c>
      <c r="I220" s="52">
        <v>0</v>
      </c>
      <c r="J220" s="52">
        <v>751000000</v>
      </c>
      <c r="K220" s="53" t="s">
        <v>2290</v>
      </c>
      <c r="L220" s="52" t="s">
        <v>1471</v>
      </c>
      <c r="M220" s="53" t="s">
        <v>2290</v>
      </c>
      <c r="N220" s="52" t="s">
        <v>241</v>
      </c>
      <c r="O220" s="52" t="s">
        <v>1471</v>
      </c>
      <c r="P220" s="53" t="s">
        <v>344</v>
      </c>
      <c r="Q220" s="52">
        <v>796</v>
      </c>
      <c r="R220" s="52" t="s">
        <v>1818</v>
      </c>
      <c r="S220" s="54">
        <v>2</v>
      </c>
      <c r="T220" s="54">
        <f t="shared" si="21"/>
        <v>2106.1403508771932</v>
      </c>
      <c r="U220" s="54">
        <f t="shared" si="20"/>
        <v>4287.5</v>
      </c>
      <c r="V220" s="54">
        <v>4802</v>
      </c>
      <c r="W220" s="52"/>
      <c r="X220" s="52">
        <v>2012</v>
      </c>
      <c r="Y220" s="52"/>
    </row>
    <row r="221" spans="2:25" s="55" customFormat="1" ht="114.75">
      <c r="B221" s="52" t="s">
        <v>981</v>
      </c>
      <c r="C221" s="78" t="s">
        <v>246</v>
      </c>
      <c r="D221" s="52" t="s">
        <v>279</v>
      </c>
      <c r="E221" s="56" t="s">
        <v>2055</v>
      </c>
      <c r="F221" s="56" t="s">
        <v>2245</v>
      </c>
      <c r="G221" s="56"/>
      <c r="H221" s="52" t="s">
        <v>243</v>
      </c>
      <c r="I221" s="52">
        <v>0</v>
      </c>
      <c r="J221" s="52">
        <v>751000000</v>
      </c>
      <c r="K221" s="53" t="s">
        <v>2290</v>
      </c>
      <c r="L221" s="52" t="s">
        <v>1471</v>
      </c>
      <c r="M221" s="53" t="s">
        <v>2290</v>
      </c>
      <c r="N221" s="52" t="s">
        <v>241</v>
      </c>
      <c r="O221" s="52" t="s">
        <v>1471</v>
      </c>
      <c r="P221" s="53" t="s">
        <v>344</v>
      </c>
      <c r="Q221" s="52">
        <v>796</v>
      </c>
      <c r="R221" s="52" t="s">
        <v>1818</v>
      </c>
      <c r="S221" s="54">
        <v>2</v>
      </c>
      <c r="T221" s="54">
        <f t="shared" si="21"/>
        <v>2166.666666666667</v>
      </c>
      <c r="U221" s="54">
        <f t="shared" si="20"/>
        <v>4410.7142857142853</v>
      </c>
      <c r="V221" s="54">
        <v>4940</v>
      </c>
      <c r="W221" s="52"/>
      <c r="X221" s="52">
        <v>2012</v>
      </c>
      <c r="Y221" s="52"/>
    </row>
    <row r="222" spans="2:25" s="55" customFormat="1" ht="114.75">
      <c r="B222" s="52" t="s">
        <v>982</v>
      </c>
      <c r="C222" s="78" t="s">
        <v>246</v>
      </c>
      <c r="D222" s="57" t="s">
        <v>256</v>
      </c>
      <c r="E222" s="56" t="s">
        <v>1914</v>
      </c>
      <c r="F222" s="56" t="s">
        <v>2245</v>
      </c>
      <c r="G222" s="56"/>
      <c r="H222" s="52" t="s">
        <v>243</v>
      </c>
      <c r="I222" s="52">
        <v>0</v>
      </c>
      <c r="J222" s="52">
        <v>751000000</v>
      </c>
      <c r="K222" s="53" t="s">
        <v>2290</v>
      </c>
      <c r="L222" s="52" t="s">
        <v>1471</v>
      </c>
      <c r="M222" s="53" t="s">
        <v>2290</v>
      </c>
      <c r="N222" s="52" t="s">
        <v>241</v>
      </c>
      <c r="O222" s="52" t="s">
        <v>1471</v>
      </c>
      <c r="P222" s="53" t="s">
        <v>344</v>
      </c>
      <c r="Q222" s="52">
        <v>166</v>
      </c>
      <c r="R222" s="52" t="s">
        <v>1818</v>
      </c>
      <c r="S222" s="54">
        <v>1</v>
      </c>
      <c r="T222" s="54">
        <f t="shared" si="21"/>
        <v>1332.4561403508771</v>
      </c>
      <c r="U222" s="54">
        <f t="shared" si="20"/>
        <v>1356.25</v>
      </c>
      <c r="V222" s="54">
        <v>1519</v>
      </c>
      <c r="W222" s="52"/>
      <c r="X222" s="52">
        <v>2012</v>
      </c>
      <c r="Y222" s="52"/>
    </row>
    <row r="223" spans="2:25" s="55" customFormat="1" ht="114.75">
      <c r="B223" s="52" t="s">
        <v>983</v>
      </c>
      <c r="C223" s="78" t="s">
        <v>246</v>
      </c>
      <c r="D223" s="57" t="s">
        <v>257</v>
      </c>
      <c r="E223" s="56" t="s">
        <v>1915</v>
      </c>
      <c r="F223" s="56" t="s">
        <v>2246</v>
      </c>
      <c r="G223" s="56"/>
      <c r="H223" s="52" t="s">
        <v>243</v>
      </c>
      <c r="I223" s="52">
        <v>0</v>
      </c>
      <c r="J223" s="52">
        <v>751000000</v>
      </c>
      <c r="K223" s="53" t="s">
        <v>2290</v>
      </c>
      <c r="L223" s="52" t="s">
        <v>1471</v>
      </c>
      <c r="M223" s="53" t="s">
        <v>2290</v>
      </c>
      <c r="N223" s="52" t="s">
        <v>241</v>
      </c>
      <c r="O223" s="52" t="s">
        <v>1471</v>
      </c>
      <c r="P223" s="53" t="s">
        <v>344</v>
      </c>
      <c r="Q223" s="52">
        <v>166</v>
      </c>
      <c r="R223" s="52" t="s">
        <v>1818</v>
      </c>
      <c r="S223" s="54">
        <v>1</v>
      </c>
      <c r="T223" s="54">
        <f t="shared" si="21"/>
        <v>4875.4385964912281</v>
      </c>
      <c r="U223" s="54">
        <f t="shared" si="20"/>
        <v>4962.5</v>
      </c>
      <c r="V223" s="54">
        <v>5558</v>
      </c>
      <c r="W223" s="52"/>
      <c r="X223" s="52">
        <v>2012</v>
      </c>
      <c r="Y223" s="52"/>
    </row>
    <row r="224" spans="2:25" s="55" customFormat="1" ht="114.75">
      <c r="B224" s="52" t="s">
        <v>984</v>
      </c>
      <c r="C224" s="78" t="s">
        <v>246</v>
      </c>
      <c r="D224" s="57" t="s">
        <v>259</v>
      </c>
      <c r="E224" s="56" t="s">
        <v>2455</v>
      </c>
      <c r="F224" s="56" t="s">
        <v>2456</v>
      </c>
      <c r="G224" s="56"/>
      <c r="H224" s="52" t="s">
        <v>243</v>
      </c>
      <c r="I224" s="52">
        <v>0</v>
      </c>
      <c r="J224" s="52">
        <v>751000000</v>
      </c>
      <c r="K224" s="53" t="s">
        <v>2290</v>
      </c>
      <c r="L224" s="52" t="s">
        <v>1471</v>
      </c>
      <c r="M224" s="53" t="s">
        <v>2290</v>
      </c>
      <c r="N224" s="52" t="s">
        <v>241</v>
      </c>
      <c r="O224" s="52" t="s">
        <v>1471</v>
      </c>
      <c r="P224" s="53" t="s">
        <v>344</v>
      </c>
      <c r="Q224" s="52">
        <v>796</v>
      </c>
      <c r="R224" s="52" t="s">
        <v>1818</v>
      </c>
      <c r="S224" s="54">
        <v>100</v>
      </c>
      <c r="T224" s="54">
        <f t="shared" si="21"/>
        <v>12.280701754385966</v>
      </c>
      <c r="U224" s="54">
        <f t="shared" si="20"/>
        <v>1250</v>
      </c>
      <c r="V224" s="54">
        <v>1400</v>
      </c>
      <c r="W224" s="52"/>
      <c r="X224" s="52">
        <v>2012</v>
      </c>
      <c r="Y224" s="52"/>
    </row>
    <row r="225" spans="2:25" s="55" customFormat="1" ht="114.75">
      <c r="B225" s="52" t="s">
        <v>985</v>
      </c>
      <c r="C225" s="78" t="s">
        <v>246</v>
      </c>
      <c r="D225" s="52" t="s">
        <v>278</v>
      </c>
      <c r="E225" s="56" t="s">
        <v>2455</v>
      </c>
      <c r="F225" s="56" t="s">
        <v>2457</v>
      </c>
      <c r="G225" s="56"/>
      <c r="H225" s="52" t="s">
        <v>243</v>
      </c>
      <c r="I225" s="52">
        <v>0</v>
      </c>
      <c r="J225" s="52">
        <v>751000000</v>
      </c>
      <c r="K225" s="53" t="s">
        <v>2290</v>
      </c>
      <c r="L225" s="52" t="s">
        <v>1471</v>
      </c>
      <c r="M225" s="53" t="s">
        <v>2290</v>
      </c>
      <c r="N225" s="52" t="s">
        <v>241</v>
      </c>
      <c r="O225" s="52" t="s">
        <v>1471</v>
      </c>
      <c r="P225" s="53" t="s">
        <v>344</v>
      </c>
      <c r="Q225" s="52">
        <v>796</v>
      </c>
      <c r="R225" s="52" t="s">
        <v>1818</v>
      </c>
      <c r="S225" s="54">
        <v>22</v>
      </c>
      <c r="T225" s="54">
        <f t="shared" si="21"/>
        <v>36.84210526315789</v>
      </c>
      <c r="U225" s="54">
        <f t="shared" si="20"/>
        <v>825</v>
      </c>
      <c r="V225" s="54">
        <v>924</v>
      </c>
      <c r="W225" s="52"/>
      <c r="X225" s="52">
        <v>2012</v>
      </c>
      <c r="Y225" s="52"/>
    </row>
    <row r="226" spans="2:25" s="55" customFormat="1" ht="114.75">
      <c r="B226" s="52" t="s">
        <v>986</v>
      </c>
      <c r="C226" s="78" t="s">
        <v>246</v>
      </c>
      <c r="D226" s="52" t="s">
        <v>259</v>
      </c>
      <c r="E226" s="56" t="s">
        <v>2054</v>
      </c>
      <c r="F226" s="56" t="s">
        <v>2247</v>
      </c>
      <c r="G226" s="56"/>
      <c r="H226" s="52" t="s">
        <v>243</v>
      </c>
      <c r="I226" s="52">
        <v>0</v>
      </c>
      <c r="J226" s="52">
        <v>751000000</v>
      </c>
      <c r="K226" s="53" t="s">
        <v>2290</v>
      </c>
      <c r="L226" s="52" t="s">
        <v>1471</v>
      </c>
      <c r="M226" s="53" t="s">
        <v>2290</v>
      </c>
      <c r="N226" s="52" t="s">
        <v>241</v>
      </c>
      <c r="O226" s="52" t="s">
        <v>1471</v>
      </c>
      <c r="P226" s="53" t="s">
        <v>344</v>
      </c>
      <c r="Q226" s="52">
        <v>796</v>
      </c>
      <c r="R226" s="52" t="s">
        <v>1818</v>
      </c>
      <c r="S226" s="54">
        <v>500</v>
      </c>
      <c r="T226" s="54">
        <f t="shared" si="21"/>
        <v>135.96491228070178</v>
      </c>
      <c r="U226" s="54">
        <f t="shared" si="20"/>
        <v>69196.428571428565</v>
      </c>
      <c r="V226" s="54">
        <v>77500</v>
      </c>
      <c r="W226" s="52"/>
      <c r="X226" s="52">
        <v>2012</v>
      </c>
      <c r="Y226" s="52"/>
    </row>
    <row r="227" spans="2:25" s="55" customFormat="1" ht="114.75">
      <c r="B227" s="52" t="s">
        <v>987</v>
      </c>
      <c r="C227" s="78" t="s">
        <v>246</v>
      </c>
      <c r="D227" s="57" t="s">
        <v>257</v>
      </c>
      <c r="E227" s="56" t="s">
        <v>2054</v>
      </c>
      <c r="F227" s="56" t="s">
        <v>1916</v>
      </c>
      <c r="G227" s="56"/>
      <c r="H227" s="52" t="s">
        <v>243</v>
      </c>
      <c r="I227" s="52">
        <v>0</v>
      </c>
      <c r="J227" s="52">
        <v>751000000</v>
      </c>
      <c r="K227" s="53" t="s">
        <v>2290</v>
      </c>
      <c r="L227" s="52" t="s">
        <v>1471</v>
      </c>
      <c r="M227" s="53" t="s">
        <v>2290</v>
      </c>
      <c r="N227" s="52" t="s">
        <v>241</v>
      </c>
      <c r="O227" s="52" t="s">
        <v>1471</v>
      </c>
      <c r="P227" s="53" t="s">
        <v>344</v>
      </c>
      <c r="Q227" s="52">
        <v>796</v>
      </c>
      <c r="R227" s="52" t="s">
        <v>1818</v>
      </c>
      <c r="S227" s="54">
        <v>500</v>
      </c>
      <c r="T227" s="54">
        <f t="shared" si="21"/>
        <v>83.333333333333343</v>
      </c>
      <c r="U227" s="54">
        <f t="shared" si="20"/>
        <v>42410.714285714283</v>
      </c>
      <c r="V227" s="54">
        <v>47500</v>
      </c>
      <c r="W227" s="52"/>
      <c r="X227" s="52">
        <v>2012</v>
      </c>
      <c r="Y227" s="52"/>
    </row>
    <row r="228" spans="2:25" s="55" customFormat="1" ht="114.75">
      <c r="B228" s="52" t="s">
        <v>988</v>
      </c>
      <c r="C228" s="78" t="s">
        <v>246</v>
      </c>
      <c r="D228" s="52" t="s">
        <v>283</v>
      </c>
      <c r="E228" s="56" t="s">
        <v>2054</v>
      </c>
      <c r="F228" s="56" t="s">
        <v>2248</v>
      </c>
      <c r="G228" s="56"/>
      <c r="H228" s="52" t="s">
        <v>243</v>
      </c>
      <c r="I228" s="52">
        <v>0</v>
      </c>
      <c r="J228" s="52">
        <v>751000000</v>
      </c>
      <c r="K228" s="53" t="s">
        <v>2290</v>
      </c>
      <c r="L228" s="52" t="s">
        <v>1471</v>
      </c>
      <c r="M228" s="53" t="s">
        <v>2290</v>
      </c>
      <c r="N228" s="52" t="s">
        <v>241</v>
      </c>
      <c r="O228" s="52" t="s">
        <v>1471</v>
      </c>
      <c r="P228" s="53" t="s">
        <v>344</v>
      </c>
      <c r="Q228" s="52">
        <v>796</v>
      </c>
      <c r="R228" s="52" t="s">
        <v>1818</v>
      </c>
      <c r="S228" s="54">
        <v>500</v>
      </c>
      <c r="T228" s="54">
        <f t="shared" si="21"/>
        <v>78.947368421052644</v>
      </c>
      <c r="U228" s="54">
        <f t="shared" si="20"/>
        <v>40178.571428571428</v>
      </c>
      <c r="V228" s="54">
        <v>45000</v>
      </c>
      <c r="W228" s="52"/>
      <c r="X228" s="52">
        <v>2012</v>
      </c>
      <c r="Y228" s="52"/>
    </row>
    <row r="229" spans="2:25" s="55" customFormat="1" ht="114.75">
      <c r="B229" s="52" t="s">
        <v>989</v>
      </c>
      <c r="C229" s="78" t="s">
        <v>246</v>
      </c>
      <c r="D229" s="52" t="s">
        <v>277</v>
      </c>
      <c r="E229" s="56" t="s">
        <v>2054</v>
      </c>
      <c r="F229" s="56" t="s">
        <v>1917</v>
      </c>
      <c r="G229" s="56"/>
      <c r="H229" s="52" t="s">
        <v>243</v>
      </c>
      <c r="I229" s="52">
        <v>0</v>
      </c>
      <c r="J229" s="52">
        <v>751000000</v>
      </c>
      <c r="K229" s="53" t="s">
        <v>2290</v>
      </c>
      <c r="L229" s="52" t="s">
        <v>1471</v>
      </c>
      <c r="M229" s="53" t="s">
        <v>2290</v>
      </c>
      <c r="N229" s="52" t="s">
        <v>241</v>
      </c>
      <c r="O229" s="52" t="s">
        <v>1471</v>
      </c>
      <c r="P229" s="53" t="s">
        <v>344</v>
      </c>
      <c r="Q229" s="52">
        <v>796</v>
      </c>
      <c r="R229" s="52" t="s">
        <v>1818</v>
      </c>
      <c r="S229" s="54">
        <v>50</v>
      </c>
      <c r="T229" s="54">
        <f t="shared" si="21"/>
        <v>106.14035087719297</v>
      </c>
      <c r="U229" s="54">
        <f t="shared" si="20"/>
        <v>5401.7857142857147</v>
      </c>
      <c r="V229" s="54">
        <v>6050</v>
      </c>
      <c r="W229" s="52"/>
      <c r="X229" s="52">
        <v>2012</v>
      </c>
      <c r="Y229" s="52"/>
    </row>
    <row r="230" spans="2:25" s="55" customFormat="1" ht="114.75">
      <c r="B230" s="52" t="s">
        <v>990</v>
      </c>
      <c r="C230" s="78" t="s">
        <v>246</v>
      </c>
      <c r="D230" s="57" t="s">
        <v>2050</v>
      </c>
      <c r="E230" s="56" t="s">
        <v>2054</v>
      </c>
      <c r="F230" s="56" t="s">
        <v>1918</v>
      </c>
      <c r="G230" s="56"/>
      <c r="H230" s="52" t="s">
        <v>243</v>
      </c>
      <c r="I230" s="52">
        <v>0</v>
      </c>
      <c r="J230" s="52">
        <v>751000000</v>
      </c>
      <c r="K230" s="53" t="s">
        <v>2290</v>
      </c>
      <c r="L230" s="52" t="s">
        <v>1471</v>
      </c>
      <c r="M230" s="53" t="s">
        <v>2290</v>
      </c>
      <c r="N230" s="52" t="s">
        <v>241</v>
      </c>
      <c r="O230" s="52" t="s">
        <v>1471</v>
      </c>
      <c r="P230" s="53" t="s">
        <v>344</v>
      </c>
      <c r="Q230" s="52">
        <v>796</v>
      </c>
      <c r="R230" s="52" t="s">
        <v>1818</v>
      </c>
      <c r="S230" s="54">
        <v>250</v>
      </c>
      <c r="T230" s="54">
        <f t="shared" si="21"/>
        <v>83.333333333333343</v>
      </c>
      <c r="U230" s="54">
        <f t="shared" si="20"/>
        <v>21205.357142857141</v>
      </c>
      <c r="V230" s="54">
        <v>23750</v>
      </c>
      <c r="W230" s="52"/>
      <c r="X230" s="52">
        <v>2012</v>
      </c>
      <c r="Y230" s="52"/>
    </row>
    <row r="231" spans="2:25" s="55" customFormat="1" ht="114.75">
      <c r="B231" s="52" t="s">
        <v>991</v>
      </c>
      <c r="C231" s="78" t="s">
        <v>246</v>
      </c>
      <c r="D231" s="57" t="s">
        <v>2053</v>
      </c>
      <c r="E231" s="56" t="s">
        <v>1919</v>
      </c>
      <c r="F231" s="56" t="s">
        <v>2249</v>
      </c>
      <c r="G231" s="56"/>
      <c r="H231" s="52" t="s">
        <v>243</v>
      </c>
      <c r="I231" s="52">
        <v>0</v>
      </c>
      <c r="J231" s="52">
        <v>751000000</v>
      </c>
      <c r="K231" s="53" t="s">
        <v>2290</v>
      </c>
      <c r="L231" s="52" t="s">
        <v>1471</v>
      </c>
      <c r="M231" s="53" t="s">
        <v>2290</v>
      </c>
      <c r="N231" s="52" t="s">
        <v>241</v>
      </c>
      <c r="O231" s="52" t="s">
        <v>1471</v>
      </c>
      <c r="P231" s="53" t="s">
        <v>344</v>
      </c>
      <c r="Q231" s="52">
        <v>796</v>
      </c>
      <c r="R231" s="52" t="s">
        <v>1818</v>
      </c>
      <c r="S231" s="54">
        <v>10</v>
      </c>
      <c r="T231" s="54">
        <f t="shared" si="21"/>
        <v>469.29824561403512</v>
      </c>
      <c r="U231" s="54">
        <f t="shared" si="20"/>
        <v>4776.7857142857147</v>
      </c>
      <c r="V231" s="54">
        <v>5350</v>
      </c>
      <c r="W231" s="52"/>
      <c r="X231" s="52">
        <v>2012</v>
      </c>
      <c r="Y231" s="52"/>
    </row>
    <row r="232" spans="2:25" s="55" customFormat="1" ht="114.75">
      <c r="B232" s="52" t="s">
        <v>992</v>
      </c>
      <c r="C232" s="78" t="s">
        <v>246</v>
      </c>
      <c r="D232" s="57" t="s">
        <v>2053</v>
      </c>
      <c r="E232" s="56" t="s">
        <v>1920</v>
      </c>
      <c r="F232" s="56" t="s">
        <v>2250</v>
      </c>
      <c r="G232" s="56"/>
      <c r="H232" s="52" t="s">
        <v>243</v>
      </c>
      <c r="I232" s="52">
        <v>0</v>
      </c>
      <c r="J232" s="52">
        <v>751000000</v>
      </c>
      <c r="K232" s="53" t="s">
        <v>2290</v>
      </c>
      <c r="L232" s="52" t="s">
        <v>1471</v>
      </c>
      <c r="M232" s="53" t="s">
        <v>2290</v>
      </c>
      <c r="N232" s="52" t="s">
        <v>241</v>
      </c>
      <c r="O232" s="52" t="s">
        <v>1471</v>
      </c>
      <c r="P232" s="53" t="s">
        <v>344</v>
      </c>
      <c r="Q232" s="52">
        <v>796</v>
      </c>
      <c r="R232" s="52" t="s">
        <v>1818</v>
      </c>
      <c r="S232" s="54">
        <v>20</v>
      </c>
      <c r="T232" s="54">
        <f t="shared" si="21"/>
        <v>956.14035087719299</v>
      </c>
      <c r="U232" s="54">
        <f t="shared" si="20"/>
        <v>19464.285714285714</v>
      </c>
      <c r="V232" s="54">
        <v>21800</v>
      </c>
      <c r="W232" s="52"/>
      <c r="X232" s="52">
        <v>2012</v>
      </c>
      <c r="Y232" s="52"/>
    </row>
    <row r="233" spans="2:25" s="55" customFormat="1" ht="114.75">
      <c r="B233" s="52" t="s">
        <v>993</v>
      </c>
      <c r="C233" s="78" t="s">
        <v>246</v>
      </c>
      <c r="D233" s="57" t="s">
        <v>2053</v>
      </c>
      <c r="E233" s="56" t="s">
        <v>1921</v>
      </c>
      <c r="F233" s="56" t="s">
        <v>2251</v>
      </c>
      <c r="G233" s="56"/>
      <c r="H233" s="52" t="s">
        <v>243</v>
      </c>
      <c r="I233" s="52">
        <v>0</v>
      </c>
      <c r="J233" s="52">
        <v>751000000</v>
      </c>
      <c r="K233" s="53" t="s">
        <v>2290</v>
      </c>
      <c r="L233" s="52" t="s">
        <v>1471</v>
      </c>
      <c r="M233" s="53" t="s">
        <v>2290</v>
      </c>
      <c r="N233" s="52" t="s">
        <v>241</v>
      </c>
      <c r="O233" s="52" t="s">
        <v>1471</v>
      </c>
      <c r="P233" s="53" t="s">
        <v>344</v>
      </c>
      <c r="Q233" s="52">
        <v>796</v>
      </c>
      <c r="R233" s="52" t="s">
        <v>1818</v>
      </c>
      <c r="S233" s="54">
        <v>10</v>
      </c>
      <c r="T233" s="54">
        <f t="shared" si="21"/>
        <v>130.7017543859649</v>
      </c>
      <c r="U233" s="54">
        <f t="shared" si="20"/>
        <v>1330.3571428571429</v>
      </c>
      <c r="V233" s="54">
        <v>1490</v>
      </c>
      <c r="W233" s="52"/>
      <c r="X233" s="52">
        <v>2012</v>
      </c>
      <c r="Y233" s="52"/>
    </row>
    <row r="234" spans="2:25" s="55" customFormat="1" ht="114.75">
      <c r="B234" s="52" t="s">
        <v>994</v>
      </c>
      <c r="C234" s="78" t="s">
        <v>246</v>
      </c>
      <c r="D234" s="57" t="s">
        <v>2053</v>
      </c>
      <c r="E234" s="56" t="s">
        <v>1922</v>
      </c>
      <c r="F234" s="56" t="s">
        <v>2251</v>
      </c>
      <c r="G234" s="56"/>
      <c r="H234" s="52" t="s">
        <v>243</v>
      </c>
      <c r="I234" s="52">
        <v>70</v>
      </c>
      <c r="J234" s="52">
        <v>751000000</v>
      </c>
      <c r="K234" s="53" t="s">
        <v>2290</v>
      </c>
      <c r="L234" s="52" t="s">
        <v>1471</v>
      </c>
      <c r="M234" s="53" t="s">
        <v>2290</v>
      </c>
      <c r="N234" s="52" t="s">
        <v>241</v>
      </c>
      <c r="O234" s="52" t="s">
        <v>1471</v>
      </c>
      <c r="P234" s="53" t="s">
        <v>344</v>
      </c>
      <c r="Q234" s="52">
        <v>736</v>
      </c>
      <c r="R234" s="52" t="s">
        <v>1818</v>
      </c>
      <c r="S234" s="54">
        <v>10</v>
      </c>
      <c r="T234" s="54">
        <f t="shared" si="21"/>
        <v>229.82456140350877</v>
      </c>
      <c r="U234" s="54">
        <f t="shared" si="20"/>
        <v>2339.2857142857142</v>
      </c>
      <c r="V234" s="54">
        <v>2620</v>
      </c>
      <c r="W234" s="52"/>
      <c r="X234" s="52">
        <v>2012</v>
      </c>
      <c r="Y234" s="52"/>
    </row>
    <row r="235" spans="2:25" s="55" customFormat="1" ht="114.75">
      <c r="B235" s="52" t="s">
        <v>995</v>
      </c>
      <c r="C235" s="78" t="s">
        <v>246</v>
      </c>
      <c r="D235" s="57" t="s">
        <v>2051</v>
      </c>
      <c r="E235" s="56" t="s">
        <v>110</v>
      </c>
      <c r="F235" s="56" t="s">
        <v>2052</v>
      </c>
      <c r="G235" s="56"/>
      <c r="H235" s="52" t="s">
        <v>243</v>
      </c>
      <c r="I235" s="52">
        <v>10</v>
      </c>
      <c r="J235" s="52">
        <v>751000000</v>
      </c>
      <c r="K235" s="53" t="s">
        <v>2290</v>
      </c>
      <c r="L235" s="52" t="s">
        <v>1471</v>
      </c>
      <c r="M235" s="53" t="s">
        <v>2290</v>
      </c>
      <c r="N235" s="52" t="s">
        <v>241</v>
      </c>
      <c r="O235" s="52" t="s">
        <v>1471</v>
      </c>
      <c r="P235" s="53" t="s">
        <v>344</v>
      </c>
      <c r="Q235" s="52">
        <v>18</v>
      </c>
      <c r="R235" s="52" t="s">
        <v>1997</v>
      </c>
      <c r="S235" s="54">
        <v>100</v>
      </c>
      <c r="T235" s="54">
        <f t="shared" si="21"/>
        <v>289.4736842105263</v>
      </c>
      <c r="U235" s="54">
        <f t="shared" si="20"/>
        <v>29464.285714285717</v>
      </c>
      <c r="V235" s="54">
        <v>33000</v>
      </c>
      <c r="W235" s="52"/>
      <c r="X235" s="52">
        <v>2012</v>
      </c>
      <c r="Y235" s="52"/>
    </row>
    <row r="236" spans="2:25" s="55" customFormat="1" ht="114.75">
      <c r="B236" s="52" t="s">
        <v>996</v>
      </c>
      <c r="C236" s="78" t="s">
        <v>246</v>
      </c>
      <c r="D236" s="52" t="s">
        <v>270</v>
      </c>
      <c r="E236" s="56" t="s">
        <v>106</v>
      </c>
      <c r="F236" s="56" t="s">
        <v>2252</v>
      </c>
      <c r="G236" s="56"/>
      <c r="H236" s="52" t="s">
        <v>243</v>
      </c>
      <c r="I236" s="52">
        <v>0</v>
      </c>
      <c r="J236" s="52">
        <v>751000000</v>
      </c>
      <c r="K236" s="53" t="s">
        <v>2290</v>
      </c>
      <c r="L236" s="52" t="s">
        <v>1471</v>
      </c>
      <c r="M236" s="53" t="s">
        <v>2290</v>
      </c>
      <c r="N236" s="52" t="s">
        <v>241</v>
      </c>
      <c r="O236" s="52" t="s">
        <v>1471</v>
      </c>
      <c r="P236" s="53" t="s">
        <v>344</v>
      </c>
      <c r="Q236" s="52">
        <v>796</v>
      </c>
      <c r="R236" s="52" t="s">
        <v>1818</v>
      </c>
      <c r="S236" s="54">
        <v>1</v>
      </c>
      <c r="T236" s="54">
        <f t="shared" si="21"/>
        <v>4993.8596491228072</v>
      </c>
      <c r="U236" s="54">
        <f t="shared" si="20"/>
        <v>5083.0357142857147</v>
      </c>
      <c r="V236" s="54">
        <v>5693</v>
      </c>
      <c r="W236" s="52"/>
      <c r="X236" s="52">
        <v>2012</v>
      </c>
      <c r="Y236" s="52"/>
    </row>
    <row r="237" spans="2:25" s="55" customFormat="1" ht="114.75">
      <c r="B237" s="52" t="s">
        <v>997</v>
      </c>
      <c r="C237" s="78" t="s">
        <v>246</v>
      </c>
      <c r="D237" s="57" t="s">
        <v>2050</v>
      </c>
      <c r="E237" s="56" t="s">
        <v>1923</v>
      </c>
      <c r="F237" s="70" t="s">
        <v>1556</v>
      </c>
      <c r="G237" s="70"/>
      <c r="H237" s="52" t="s">
        <v>243</v>
      </c>
      <c r="I237" s="52">
        <v>0</v>
      </c>
      <c r="J237" s="52">
        <v>751000000</v>
      </c>
      <c r="K237" s="53" t="s">
        <v>2290</v>
      </c>
      <c r="L237" s="52" t="s">
        <v>1471</v>
      </c>
      <c r="M237" s="53" t="s">
        <v>2290</v>
      </c>
      <c r="N237" s="52" t="s">
        <v>241</v>
      </c>
      <c r="O237" s="52" t="s">
        <v>1471</v>
      </c>
      <c r="P237" s="53" t="s">
        <v>344</v>
      </c>
      <c r="Q237" s="52">
        <v>796</v>
      </c>
      <c r="R237" s="52" t="s">
        <v>1818</v>
      </c>
      <c r="S237" s="54">
        <v>1</v>
      </c>
      <c r="T237" s="54">
        <f t="shared" si="21"/>
        <v>1639.4736842105265</v>
      </c>
      <c r="U237" s="54">
        <f t="shared" si="20"/>
        <v>1668.75</v>
      </c>
      <c r="V237" s="54">
        <v>1869</v>
      </c>
      <c r="W237" s="52"/>
      <c r="X237" s="52">
        <v>2012</v>
      </c>
      <c r="Y237" s="52"/>
    </row>
    <row r="238" spans="2:25" s="55" customFormat="1" ht="114.75">
      <c r="B238" s="52" t="s">
        <v>998</v>
      </c>
      <c r="C238" s="78" t="s">
        <v>246</v>
      </c>
      <c r="D238" s="128" t="s">
        <v>265</v>
      </c>
      <c r="E238" s="56" t="s">
        <v>1924</v>
      </c>
      <c r="F238" s="56" t="s">
        <v>2253</v>
      </c>
      <c r="G238" s="56"/>
      <c r="H238" s="52" t="s">
        <v>243</v>
      </c>
      <c r="I238" s="52">
        <v>10</v>
      </c>
      <c r="J238" s="52">
        <v>751000000</v>
      </c>
      <c r="K238" s="53" t="s">
        <v>2290</v>
      </c>
      <c r="L238" s="52" t="s">
        <v>1471</v>
      </c>
      <c r="M238" s="53" t="s">
        <v>2290</v>
      </c>
      <c r="N238" s="52" t="s">
        <v>241</v>
      </c>
      <c r="O238" s="52" t="s">
        <v>1471</v>
      </c>
      <c r="P238" s="53" t="s">
        <v>344</v>
      </c>
      <c r="Q238" s="52">
        <v>796</v>
      </c>
      <c r="R238" s="52" t="s">
        <v>1818</v>
      </c>
      <c r="S238" s="54">
        <v>5</v>
      </c>
      <c r="T238" s="54">
        <f t="shared" si="21"/>
        <v>1052.6315789473683</v>
      </c>
      <c r="U238" s="54">
        <f t="shared" si="20"/>
        <v>5357.1428571428569</v>
      </c>
      <c r="V238" s="54">
        <v>6000</v>
      </c>
      <c r="W238" s="52"/>
      <c r="X238" s="52">
        <v>2012</v>
      </c>
      <c r="Y238" s="52"/>
    </row>
    <row r="239" spans="2:25" s="55" customFormat="1" ht="114.75">
      <c r="B239" s="52" t="s">
        <v>999</v>
      </c>
      <c r="C239" s="78" t="s">
        <v>246</v>
      </c>
      <c r="D239" s="57" t="s">
        <v>2049</v>
      </c>
      <c r="E239" s="56" t="s">
        <v>1925</v>
      </c>
      <c r="F239" s="53" t="s">
        <v>2254</v>
      </c>
      <c r="G239" s="53"/>
      <c r="H239" s="52" t="s">
        <v>243</v>
      </c>
      <c r="I239" s="52">
        <v>0</v>
      </c>
      <c r="J239" s="52">
        <v>751000000</v>
      </c>
      <c r="K239" s="53" t="s">
        <v>2290</v>
      </c>
      <c r="L239" s="52" t="s">
        <v>1471</v>
      </c>
      <c r="M239" s="53" t="s">
        <v>2290</v>
      </c>
      <c r="N239" s="52" t="s">
        <v>241</v>
      </c>
      <c r="O239" s="52" t="s">
        <v>1471</v>
      </c>
      <c r="P239" s="53" t="s">
        <v>344</v>
      </c>
      <c r="Q239" s="52">
        <v>796</v>
      </c>
      <c r="R239" s="52" t="s">
        <v>1818</v>
      </c>
      <c r="S239" s="54">
        <v>200</v>
      </c>
      <c r="T239" s="54">
        <f t="shared" si="21"/>
        <v>65.78947368421052</v>
      </c>
      <c r="U239" s="54">
        <f t="shared" si="20"/>
        <v>13392.857142857141</v>
      </c>
      <c r="V239" s="54">
        <v>15000</v>
      </c>
      <c r="W239" s="52"/>
      <c r="X239" s="52">
        <v>2012</v>
      </c>
      <c r="Y239" s="52"/>
    </row>
    <row r="240" spans="2:25" s="55" customFormat="1" ht="114.75">
      <c r="B240" s="52" t="s">
        <v>1000</v>
      </c>
      <c r="C240" s="78" t="s">
        <v>246</v>
      </c>
      <c r="D240" s="57" t="s">
        <v>2048</v>
      </c>
      <c r="E240" s="56" t="s">
        <v>114</v>
      </c>
      <c r="F240" s="53" t="s">
        <v>2255</v>
      </c>
      <c r="G240" s="53"/>
      <c r="H240" s="52" t="s">
        <v>243</v>
      </c>
      <c r="I240" s="52">
        <v>10</v>
      </c>
      <c r="J240" s="52">
        <v>751000000</v>
      </c>
      <c r="K240" s="53" t="s">
        <v>2290</v>
      </c>
      <c r="L240" s="52" t="s">
        <v>1471</v>
      </c>
      <c r="M240" s="53" t="s">
        <v>2290</v>
      </c>
      <c r="N240" s="52" t="s">
        <v>241</v>
      </c>
      <c r="O240" s="52" t="s">
        <v>1471</v>
      </c>
      <c r="P240" s="53" t="s">
        <v>344</v>
      </c>
      <c r="Q240" s="52">
        <v>796</v>
      </c>
      <c r="R240" s="52" t="s">
        <v>1818</v>
      </c>
      <c r="S240" s="54">
        <v>30</v>
      </c>
      <c r="T240" s="54">
        <f t="shared" si="21"/>
        <v>1315.7894736842106</v>
      </c>
      <c r="U240" s="54">
        <f t="shared" si="20"/>
        <v>40178.571428571428</v>
      </c>
      <c r="V240" s="54">
        <v>45000</v>
      </c>
      <c r="W240" s="52"/>
      <c r="X240" s="52">
        <v>2012</v>
      </c>
      <c r="Y240" s="52"/>
    </row>
    <row r="241" spans="1:25" s="55" customFormat="1" ht="114.75">
      <c r="B241" s="52" t="s">
        <v>1001</v>
      </c>
      <c r="C241" s="78" t="s">
        <v>246</v>
      </c>
      <c r="D241" s="57" t="s">
        <v>2047</v>
      </c>
      <c r="E241" s="56" t="s">
        <v>1926</v>
      </c>
      <c r="F241" s="56" t="s">
        <v>2256</v>
      </c>
      <c r="G241" s="56"/>
      <c r="H241" s="52" t="s">
        <v>243</v>
      </c>
      <c r="I241" s="52">
        <v>0</v>
      </c>
      <c r="J241" s="52">
        <v>751000000</v>
      </c>
      <c r="K241" s="53" t="s">
        <v>2290</v>
      </c>
      <c r="L241" s="52" t="s">
        <v>1471</v>
      </c>
      <c r="M241" s="53" t="s">
        <v>2290</v>
      </c>
      <c r="N241" s="52" t="s">
        <v>241</v>
      </c>
      <c r="O241" s="52" t="s">
        <v>1471</v>
      </c>
      <c r="P241" s="53" t="s">
        <v>344</v>
      </c>
      <c r="Q241" s="52">
        <v>796</v>
      </c>
      <c r="R241" s="52" t="s">
        <v>1818</v>
      </c>
      <c r="S241" s="54">
        <v>30</v>
      </c>
      <c r="T241" s="54">
        <f t="shared" si="21"/>
        <v>3070.1754385964909</v>
      </c>
      <c r="U241" s="54">
        <f t="shared" si="20"/>
        <v>93750</v>
      </c>
      <c r="V241" s="54">
        <v>105000</v>
      </c>
      <c r="W241" s="52"/>
      <c r="X241" s="52">
        <v>2012</v>
      </c>
      <c r="Y241" s="52"/>
    </row>
    <row r="242" spans="1:25" s="55" customFormat="1" ht="114.75">
      <c r="B242" s="52" t="s">
        <v>1002</v>
      </c>
      <c r="C242" s="78" t="s">
        <v>246</v>
      </c>
      <c r="D242" s="57" t="s">
        <v>279</v>
      </c>
      <c r="E242" s="56" t="s">
        <v>229</v>
      </c>
      <c r="F242" s="56" t="s">
        <v>2257</v>
      </c>
      <c r="G242" s="56"/>
      <c r="H242" s="52" t="s">
        <v>243</v>
      </c>
      <c r="I242" s="52">
        <v>0</v>
      </c>
      <c r="J242" s="52">
        <v>751000000</v>
      </c>
      <c r="K242" s="53" t="s">
        <v>2290</v>
      </c>
      <c r="L242" s="52" t="s">
        <v>1471</v>
      </c>
      <c r="M242" s="53" t="s">
        <v>2290</v>
      </c>
      <c r="N242" s="52" t="s">
        <v>241</v>
      </c>
      <c r="O242" s="52" t="s">
        <v>1471</v>
      </c>
      <c r="P242" s="53" t="s">
        <v>344</v>
      </c>
      <c r="Q242" s="52">
        <v>796</v>
      </c>
      <c r="R242" s="52" t="s">
        <v>1818</v>
      </c>
      <c r="S242" s="54">
        <v>20</v>
      </c>
      <c r="T242" s="54">
        <f t="shared" si="21"/>
        <v>877.1929824561405</v>
      </c>
      <c r="U242" s="54">
        <f t="shared" ref="U242:U269" si="22">V242/112*100</f>
        <v>17857.142857142859</v>
      </c>
      <c r="V242" s="54">
        <v>20000</v>
      </c>
      <c r="W242" s="52"/>
      <c r="X242" s="52">
        <v>2012</v>
      </c>
      <c r="Y242" s="52"/>
    </row>
    <row r="243" spans="1:25" s="55" customFormat="1" ht="114.75">
      <c r="B243" s="52" t="s">
        <v>1003</v>
      </c>
      <c r="C243" s="78" t="s">
        <v>246</v>
      </c>
      <c r="D243" s="57" t="s">
        <v>2047</v>
      </c>
      <c r="E243" s="56" t="s">
        <v>230</v>
      </c>
      <c r="F243" s="53" t="s">
        <v>2258</v>
      </c>
      <c r="G243" s="53"/>
      <c r="H243" s="52" t="s">
        <v>243</v>
      </c>
      <c r="I243" s="52">
        <v>0</v>
      </c>
      <c r="J243" s="52">
        <v>751000000</v>
      </c>
      <c r="K243" s="53" t="s">
        <v>2290</v>
      </c>
      <c r="L243" s="52" t="s">
        <v>1471</v>
      </c>
      <c r="M243" s="53" t="s">
        <v>2290</v>
      </c>
      <c r="N243" s="52" t="s">
        <v>241</v>
      </c>
      <c r="O243" s="52" t="s">
        <v>1471</v>
      </c>
      <c r="P243" s="53" t="s">
        <v>344</v>
      </c>
      <c r="Q243" s="52">
        <v>796</v>
      </c>
      <c r="R243" s="52" t="s">
        <v>1818</v>
      </c>
      <c r="S243" s="54">
        <v>20</v>
      </c>
      <c r="T243" s="54">
        <f t="shared" si="21"/>
        <v>1052.6315789473683</v>
      </c>
      <c r="U243" s="54">
        <f t="shared" si="22"/>
        <v>21428.571428571428</v>
      </c>
      <c r="V243" s="54">
        <v>24000</v>
      </c>
      <c r="W243" s="52"/>
      <c r="X243" s="52">
        <v>2012</v>
      </c>
      <c r="Y243" s="52"/>
    </row>
    <row r="244" spans="1:25" s="55" customFormat="1" ht="114.75">
      <c r="B244" s="52" t="s">
        <v>1004</v>
      </c>
      <c r="C244" s="78" t="s">
        <v>246</v>
      </c>
      <c r="D244" s="52" t="s">
        <v>278</v>
      </c>
      <c r="E244" s="56" t="s">
        <v>231</v>
      </c>
      <c r="F244" s="53" t="s">
        <v>2046</v>
      </c>
      <c r="G244" s="53"/>
      <c r="H244" s="52" t="s">
        <v>243</v>
      </c>
      <c r="I244" s="52">
        <v>0</v>
      </c>
      <c r="J244" s="52">
        <v>751000000</v>
      </c>
      <c r="K244" s="53" t="s">
        <v>2290</v>
      </c>
      <c r="L244" s="52" t="s">
        <v>1501</v>
      </c>
      <c r="M244" s="53" t="s">
        <v>2290</v>
      </c>
      <c r="N244" s="52" t="s">
        <v>241</v>
      </c>
      <c r="O244" s="52" t="s">
        <v>1501</v>
      </c>
      <c r="P244" s="53" t="s">
        <v>1538</v>
      </c>
      <c r="Q244" s="52">
        <v>796</v>
      </c>
      <c r="R244" s="52" t="s">
        <v>1818</v>
      </c>
      <c r="S244" s="54">
        <v>200</v>
      </c>
      <c r="T244" s="54">
        <f t="shared" si="21"/>
        <v>407.89473684210526</v>
      </c>
      <c r="U244" s="54">
        <f t="shared" si="22"/>
        <v>83035.71428571429</v>
      </c>
      <c r="V244" s="54">
        <v>93000</v>
      </c>
      <c r="W244" s="52"/>
      <c r="X244" s="52">
        <v>2012</v>
      </c>
      <c r="Y244" s="52"/>
    </row>
    <row r="245" spans="1:25" s="55" customFormat="1" ht="51">
      <c r="B245" s="52" t="s">
        <v>1005</v>
      </c>
      <c r="C245" s="78" t="s">
        <v>246</v>
      </c>
      <c r="D245" s="52" t="s">
        <v>2045</v>
      </c>
      <c r="E245" s="56" t="s">
        <v>232</v>
      </c>
      <c r="F245" s="53" t="s">
        <v>2259</v>
      </c>
      <c r="G245" s="53"/>
      <c r="H245" s="52" t="s">
        <v>243</v>
      </c>
      <c r="I245" s="52">
        <v>0</v>
      </c>
      <c r="J245" s="52">
        <v>751000000</v>
      </c>
      <c r="K245" s="53" t="s">
        <v>2290</v>
      </c>
      <c r="L245" s="52" t="s">
        <v>1503</v>
      </c>
      <c r="M245" s="53" t="s">
        <v>2290</v>
      </c>
      <c r="N245" s="52" t="s">
        <v>241</v>
      </c>
      <c r="O245" s="52" t="s">
        <v>1503</v>
      </c>
      <c r="P245" s="53" t="s">
        <v>2000</v>
      </c>
      <c r="Q245" s="52">
        <v>796</v>
      </c>
      <c r="R245" s="52" t="s">
        <v>1818</v>
      </c>
      <c r="S245" s="54">
        <v>6</v>
      </c>
      <c r="T245" s="54">
        <f t="shared" si="21"/>
        <v>1670.1754385964914</v>
      </c>
      <c r="U245" s="54">
        <f t="shared" si="22"/>
        <v>10200</v>
      </c>
      <c r="V245" s="54">
        <v>11424</v>
      </c>
      <c r="W245" s="52"/>
      <c r="X245" s="52">
        <v>2012</v>
      </c>
      <c r="Y245" s="52"/>
    </row>
    <row r="246" spans="1:25" s="55" customFormat="1" ht="51">
      <c r="B246" s="52" t="s">
        <v>1006</v>
      </c>
      <c r="C246" s="78" t="s">
        <v>246</v>
      </c>
      <c r="D246" s="52" t="s">
        <v>2044</v>
      </c>
      <c r="E246" s="56" t="s">
        <v>233</v>
      </c>
      <c r="F246" s="53" t="s">
        <v>2260</v>
      </c>
      <c r="G246" s="53"/>
      <c r="H246" s="52" t="s">
        <v>243</v>
      </c>
      <c r="I246" s="52">
        <v>0</v>
      </c>
      <c r="J246" s="52">
        <v>751000000</v>
      </c>
      <c r="K246" s="53" t="s">
        <v>2290</v>
      </c>
      <c r="L246" s="52" t="s">
        <v>1503</v>
      </c>
      <c r="M246" s="53" t="s">
        <v>2290</v>
      </c>
      <c r="N246" s="52" t="s">
        <v>241</v>
      </c>
      <c r="O246" s="52" t="s">
        <v>1503</v>
      </c>
      <c r="P246" s="53" t="s">
        <v>2000</v>
      </c>
      <c r="Q246" s="52">
        <v>796</v>
      </c>
      <c r="R246" s="52" t="s">
        <v>1818</v>
      </c>
      <c r="S246" s="54">
        <v>2</v>
      </c>
      <c r="T246" s="54">
        <f t="shared" si="21"/>
        <v>2456.1403508771932</v>
      </c>
      <c r="U246" s="54">
        <f t="shared" si="22"/>
        <v>5000</v>
      </c>
      <c r="V246" s="54">
        <v>5600</v>
      </c>
      <c r="W246" s="52"/>
      <c r="X246" s="52">
        <v>2012</v>
      </c>
      <c r="Y246" s="52"/>
    </row>
    <row r="247" spans="1:25" s="55" customFormat="1" ht="51">
      <c r="B247" s="52" t="s">
        <v>1007</v>
      </c>
      <c r="C247" s="78" t="s">
        <v>246</v>
      </c>
      <c r="D247" s="52" t="s">
        <v>269</v>
      </c>
      <c r="E247" s="56" t="s">
        <v>2037</v>
      </c>
      <c r="F247" s="56" t="s">
        <v>2043</v>
      </c>
      <c r="G247" s="56"/>
      <c r="H247" s="52" t="s">
        <v>243</v>
      </c>
      <c r="I247" s="52">
        <v>0</v>
      </c>
      <c r="J247" s="52">
        <v>751000000</v>
      </c>
      <c r="K247" s="53" t="s">
        <v>2290</v>
      </c>
      <c r="L247" s="52" t="s">
        <v>1548</v>
      </c>
      <c r="M247" s="53" t="s">
        <v>2290</v>
      </c>
      <c r="N247" s="52" t="s">
        <v>241</v>
      </c>
      <c r="O247" s="53" t="s">
        <v>1548</v>
      </c>
      <c r="P247" s="53" t="s">
        <v>2000</v>
      </c>
      <c r="Q247" s="52">
        <v>839</v>
      </c>
      <c r="R247" s="52" t="s">
        <v>348</v>
      </c>
      <c r="S247" s="54">
        <v>3</v>
      </c>
      <c r="T247" s="54">
        <f t="shared" si="21"/>
        <v>0</v>
      </c>
      <c r="U247" s="54">
        <f t="shared" si="22"/>
        <v>0</v>
      </c>
      <c r="V247" s="54">
        <v>0</v>
      </c>
      <c r="W247" s="52"/>
      <c r="X247" s="52">
        <v>2012</v>
      </c>
      <c r="Y247" s="52" t="s">
        <v>2695</v>
      </c>
    </row>
    <row r="248" spans="1:25" s="55" customFormat="1" ht="51">
      <c r="B248" s="52" t="s">
        <v>2806</v>
      </c>
      <c r="C248" s="78" t="s">
        <v>246</v>
      </c>
      <c r="D248" s="52" t="s">
        <v>269</v>
      </c>
      <c r="E248" s="56" t="s">
        <v>2037</v>
      </c>
      <c r="F248" s="56" t="s">
        <v>2043</v>
      </c>
      <c r="G248" s="56"/>
      <c r="H248" s="52" t="s">
        <v>243</v>
      </c>
      <c r="I248" s="52">
        <v>0</v>
      </c>
      <c r="J248" s="52">
        <v>751000000</v>
      </c>
      <c r="K248" s="53" t="s">
        <v>2290</v>
      </c>
      <c r="L248" s="52" t="s">
        <v>1502</v>
      </c>
      <c r="M248" s="53" t="s">
        <v>2290</v>
      </c>
      <c r="N248" s="52" t="s">
        <v>241</v>
      </c>
      <c r="O248" s="53" t="s">
        <v>2530</v>
      </c>
      <c r="P248" s="53" t="s">
        <v>2000</v>
      </c>
      <c r="Q248" s="52">
        <v>839</v>
      </c>
      <c r="R248" s="52" t="s">
        <v>348</v>
      </c>
      <c r="S248" s="54">
        <v>3</v>
      </c>
      <c r="T248" s="54">
        <f t="shared" si="21"/>
        <v>21929.824561403511</v>
      </c>
      <c r="U248" s="54">
        <f t="shared" si="22"/>
        <v>66964.28571428571</v>
      </c>
      <c r="V248" s="54">
        <f>120000-45000</f>
        <v>75000</v>
      </c>
      <c r="W248" s="52"/>
      <c r="X248" s="52">
        <v>2012</v>
      </c>
      <c r="Y248" s="52"/>
    </row>
    <row r="249" spans="1:25" s="55" customFormat="1" ht="51">
      <c r="B249" s="52" t="s">
        <v>1008</v>
      </c>
      <c r="C249" s="78" t="s">
        <v>246</v>
      </c>
      <c r="D249" s="77">
        <v>44182</v>
      </c>
      <c r="E249" s="56" t="s">
        <v>234</v>
      </c>
      <c r="F249" s="56" t="s">
        <v>234</v>
      </c>
      <c r="G249" s="56"/>
      <c r="H249" s="52" t="s">
        <v>243</v>
      </c>
      <c r="I249" s="52">
        <v>0</v>
      </c>
      <c r="J249" s="52">
        <v>751000000</v>
      </c>
      <c r="K249" s="53" t="s">
        <v>2290</v>
      </c>
      <c r="L249" s="52" t="s">
        <v>1471</v>
      </c>
      <c r="M249" s="53" t="s">
        <v>2290</v>
      </c>
      <c r="N249" s="52" t="s">
        <v>241</v>
      </c>
      <c r="O249" s="53" t="s">
        <v>2475</v>
      </c>
      <c r="P249" s="53" t="s">
        <v>2000</v>
      </c>
      <c r="Q249" s="52">
        <v>736</v>
      </c>
      <c r="R249" s="52" t="s">
        <v>1435</v>
      </c>
      <c r="S249" s="54">
        <v>250</v>
      </c>
      <c r="T249" s="54">
        <f t="shared" si="21"/>
        <v>105.26315789473682</v>
      </c>
      <c r="U249" s="54">
        <f t="shared" si="22"/>
        <v>26785.714285714283</v>
      </c>
      <c r="V249" s="54">
        <v>30000</v>
      </c>
      <c r="W249" s="52"/>
      <c r="X249" s="52">
        <v>2012</v>
      </c>
      <c r="Y249" s="52"/>
    </row>
    <row r="250" spans="1:25" s="55" customFormat="1" ht="51">
      <c r="B250" s="52" t="s">
        <v>1009</v>
      </c>
      <c r="C250" s="78" t="s">
        <v>246</v>
      </c>
      <c r="D250" s="77">
        <v>44182</v>
      </c>
      <c r="E250" s="56" t="s">
        <v>2039</v>
      </c>
      <c r="F250" s="56" t="s">
        <v>2042</v>
      </c>
      <c r="G250" s="56"/>
      <c r="H250" s="52" t="s">
        <v>243</v>
      </c>
      <c r="I250" s="52">
        <v>0</v>
      </c>
      <c r="J250" s="52">
        <v>751000000</v>
      </c>
      <c r="K250" s="53" t="s">
        <v>2290</v>
      </c>
      <c r="L250" s="52" t="s">
        <v>1471</v>
      </c>
      <c r="M250" s="53" t="s">
        <v>2290</v>
      </c>
      <c r="N250" s="52" t="s">
        <v>241</v>
      </c>
      <c r="O250" s="53" t="s">
        <v>2475</v>
      </c>
      <c r="P250" s="53" t="s">
        <v>2000</v>
      </c>
      <c r="Q250" s="52">
        <v>736</v>
      </c>
      <c r="R250" s="52" t="s">
        <v>1435</v>
      </c>
      <c r="S250" s="54">
        <v>250</v>
      </c>
      <c r="T250" s="54">
        <f t="shared" si="21"/>
        <v>482.45614035087721</v>
      </c>
      <c r="U250" s="54">
        <f t="shared" si="22"/>
        <v>122767.85714285713</v>
      </c>
      <c r="V250" s="54">
        <v>137500</v>
      </c>
      <c r="W250" s="52"/>
      <c r="X250" s="52">
        <v>2012</v>
      </c>
      <c r="Y250" s="52"/>
    </row>
    <row r="251" spans="1:25" s="55" customFormat="1" ht="51">
      <c r="A251" s="56"/>
      <c r="B251" s="52" t="s">
        <v>1010</v>
      </c>
      <c r="C251" s="78" t="s">
        <v>246</v>
      </c>
      <c r="D251" s="57" t="s">
        <v>254</v>
      </c>
      <c r="E251" s="56" t="s">
        <v>2040</v>
      </c>
      <c r="F251" s="56" t="s">
        <v>2040</v>
      </c>
      <c r="G251" s="56"/>
      <c r="H251" s="52" t="s">
        <v>243</v>
      </c>
      <c r="I251" s="52">
        <v>0</v>
      </c>
      <c r="J251" s="52">
        <v>751000000</v>
      </c>
      <c r="K251" s="53" t="s">
        <v>2290</v>
      </c>
      <c r="L251" s="52" t="s">
        <v>1471</v>
      </c>
      <c r="M251" s="53" t="s">
        <v>2290</v>
      </c>
      <c r="N251" s="52" t="s">
        <v>241</v>
      </c>
      <c r="O251" s="53" t="s">
        <v>2475</v>
      </c>
      <c r="P251" s="53" t="s">
        <v>2000</v>
      </c>
      <c r="Q251" s="58" t="s">
        <v>2041</v>
      </c>
      <c r="R251" s="52" t="s">
        <v>1433</v>
      </c>
      <c r="S251" s="54">
        <v>30</v>
      </c>
      <c r="T251" s="54">
        <f t="shared" si="21"/>
        <v>263.15789473684214</v>
      </c>
      <c r="U251" s="54">
        <f t="shared" si="22"/>
        <v>8035.7142857142862</v>
      </c>
      <c r="V251" s="54">
        <v>9000</v>
      </c>
      <c r="W251" s="52"/>
      <c r="X251" s="52">
        <v>2012</v>
      </c>
      <c r="Y251" s="52"/>
    </row>
    <row r="252" spans="1:25" s="55" customFormat="1" ht="51">
      <c r="A252" s="56"/>
      <c r="B252" s="52" t="s">
        <v>1011</v>
      </c>
      <c r="C252" s="78" t="s">
        <v>246</v>
      </c>
      <c r="D252" s="77">
        <v>44182</v>
      </c>
      <c r="E252" s="56" t="s">
        <v>1927</v>
      </c>
      <c r="F252" s="56" t="s">
        <v>1927</v>
      </c>
      <c r="G252" s="56"/>
      <c r="H252" s="52" t="s">
        <v>243</v>
      </c>
      <c r="I252" s="52">
        <v>0</v>
      </c>
      <c r="J252" s="52">
        <v>751000000</v>
      </c>
      <c r="K252" s="53" t="s">
        <v>2290</v>
      </c>
      <c r="L252" s="52" t="s">
        <v>1471</v>
      </c>
      <c r="M252" s="53" t="s">
        <v>2290</v>
      </c>
      <c r="N252" s="52" t="s">
        <v>241</v>
      </c>
      <c r="O252" s="53" t="s">
        <v>2475</v>
      </c>
      <c r="P252" s="53" t="s">
        <v>2000</v>
      </c>
      <c r="Q252" s="52">
        <v>796</v>
      </c>
      <c r="R252" s="52" t="s">
        <v>1818</v>
      </c>
      <c r="S252" s="54">
        <v>150</v>
      </c>
      <c r="T252" s="54">
        <f t="shared" si="21"/>
        <v>105.26315789473685</v>
      </c>
      <c r="U252" s="54">
        <f t="shared" si="22"/>
        <v>16071.428571428572</v>
      </c>
      <c r="V252" s="54">
        <v>18000</v>
      </c>
      <c r="W252" s="52"/>
      <c r="X252" s="52">
        <v>2012</v>
      </c>
      <c r="Y252" s="52"/>
    </row>
    <row r="253" spans="1:25" s="55" customFormat="1" ht="114.75">
      <c r="B253" s="52" t="s">
        <v>1012</v>
      </c>
      <c r="C253" s="78" t="s">
        <v>246</v>
      </c>
      <c r="D253" s="52" t="s">
        <v>2036</v>
      </c>
      <c r="E253" s="56" t="s">
        <v>1928</v>
      </c>
      <c r="F253" s="53" t="s">
        <v>2261</v>
      </c>
      <c r="G253" s="53"/>
      <c r="H253" s="52" t="s">
        <v>243</v>
      </c>
      <c r="I253" s="52">
        <v>0</v>
      </c>
      <c r="J253" s="52">
        <v>751000000</v>
      </c>
      <c r="K253" s="53" t="s">
        <v>2290</v>
      </c>
      <c r="L253" s="52" t="s">
        <v>1471</v>
      </c>
      <c r="M253" s="53" t="s">
        <v>2290</v>
      </c>
      <c r="N253" s="52" t="s">
        <v>241</v>
      </c>
      <c r="O253" s="53" t="s">
        <v>1471</v>
      </c>
      <c r="P253" s="53" t="s">
        <v>344</v>
      </c>
      <c r="Q253" s="58" t="s">
        <v>1432</v>
      </c>
      <c r="R253" s="52" t="s">
        <v>1818</v>
      </c>
      <c r="S253" s="54">
        <v>20</v>
      </c>
      <c r="T253" s="54">
        <f t="shared" si="21"/>
        <v>4385.9649122807023</v>
      </c>
      <c r="U253" s="54">
        <f t="shared" si="22"/>
        <v>89285.71428571429</v>
      </c>
      <c r="V253" s="54">
        <v>100000</v>
      </c>
      <c r="W253" s="52"/>
      <c r="X253" s="52">
        <v>2012</v>
      </c>
      <c r="Y253" s="52"/>
    </row>
    <row r="254" spans="1:25" s="55" customFormat="1" ht="114.75">
      <c r="B254" s="52" t="s">
        <v>1013</v>
      </c>
      <c r="C254" s="78" t="s">
        <v>246</v>
      </c>
      <c r="D254" s="69">
        <v>22977</v>
      </c>
      <c r="E254" s="56" t="s">
        <v>1993</v>
      </c>
      <c r="F254" s="168" t="s">
        <v>1929</v>
      </c>
      <c r="G254" s="168"/>
      <c r="H254" s="52" t="s">
        <v>243</v>
      </c>
      <c r="I254" s="52">
        <v>0</v>
      </c>
      <c r="J254" s="52">
        <v>751000000</v>
      </c>
      <c r="K254" s="53" t="s">
        <v>2290</v>
      </c>
      <c r="L254" s="52" t="s">
        <v>1464</v>
      </c>
      <c r="M254" s="53" t="s">
        <v>2290</v>
      </c>
      <c r="N254" s="52" t="s">
        <v>241</v>
      </c>
      <c r="O254" s="53" t="s">
        <v>1502</v>
      </c>
      <c r="P254" s="53" t="s">
        <v>344</v>
      </c>
      <c r="Q254" s="52">
        <v>796</v>
      </c>
      <c r="R254" s="52" t="s">
        <v>1818</v>
      </c>
      <c r="S254" s="52">
        <v>15</v>
      </c>
      <c r="T254" s="54">
        <f>V254/114*100/S254</f>
        <v>0</v>
      </c>
      <c r="U254" s="54">
        <f t="shared" si="22"/>
        <v>0</v>
      </c>
      <c r="V254" s="54">
        <v>0</v>
      </c>
      <c r="X254" s="52">
        <v>2012</v>
      </c>
      <c r="Y254" s="52" t="s">
        <v>2664</v>
      </c>
    </row>
    <row r="255" spans="1:25" s="55" customFormat="1" ht="114.75">
      <c r="B255" s="52" t="s">
        <v>2667</v>
      </c>
      <c r="C255" s="78" t="s">
        <v>246</v>
      </c>
      <c r="D255" s="69">
        <v>22977</v>
      </c>
      <c r="E255" s="56" t="s">
        <v>1993</v>
      </c>
      <c r="F255" s="168" t="s">
        <v>1929</v>
      </c>
      <c r="G255" s="168"/>
      <c r="H255" s="52" t="s">
        <v>243</v>
      </c>
      <c r="I255" s="52">
        <v>0</v>
      </c>
      <c r="J255" s="52">
        <v>751000000</v>
      </c>
      <c r="K255" s="53" t="s">
        <v>2290</v>
      </c>
      <c r="L255" s="52" t="s">
        <v>1463</v>
      </c>
      <c r="M255" s="53" t="s">
        <v>2290</v>
      </c>
      <c r="N255" s="52" t="s">
        <v>241</v>
      </c>
      <c r="O255" s="53" t="s">
        <v>1502</v>
      </c>
      <c r="P255" s="53" t="s">
        <v>344</v>
      </c>
      <c r="Q255" s="52">
        <v>796</v>
      </c>
      <c r="R255" s="52" t="s">
        <v>1818</v>
      </c>
      <c r="S255" s="52">
        <v>13</v>
      </c>
      <c r="T255" s="54">
        <f>V255/114*100/S255</f>
        <v>7017.5438596491231</v>
      </c>
      <c r="U255" s="54">
        <f t="shared" si="22"/>
        <v>92857.142857142855</v>
      </c>
      <c r="V255" s="54">
        <v>104000</v>
      </c>
      <c r="W255" s="52"/>
      <c r="X255" s="52">
        <v>2012</v>
      </c>
      <c r="Y255" s="52"/>
    </row>
    <row r="256" spans="1:25" s="55" customFormat="1" ht="114.75">
      <c r="B256" s="52" t="s">
        <v>1014</v>
      </c>
      <c r="C256" s="78" t="s">
        <v>246</v>
      </c>
      <c r="D256" s="57" t="s">
        <v>262</v>
      </c>
      <c r="E256" s="56" t="s">
        <v>1995</v>
      </c>
      <c r="F256" s="168" t="s">
        <v>1994</v>
      </c>
      <c r="G256" s="168"/>
      <c r="H256" s="52" t="s">
        <v>243</v>
      </c>
      <c r="I256" s="52">
        <v>0</v>
      </c>
      <c r="J256" s="52">
        <v>751000000</v>
      </c>
      <c r="K256" s="53" t="s">
        <v>2290</v>
      </c>
      <c r="L256" s="52" t="s">
        <v>1464</v>
      </c>
      <c r="M256" s="53" t="s">
        <v>2290</v>
      </c>
      <c r="N256" s="52" t="s">
        <v>241</v>
      </c>
      <c r="O256" s="53" t="s">
        <v>1502</v>
      </c>
      <c r="P256" s="53" t="s">
        <v>344</v>
      </c>
      <c r="Q256" s="52">
        <v>796</v>
      </c>
      <c r="R256" s="52" t="s">
        <v>1818</v>
      </c>
      <c r="S256" s="52">
        <v>15</v>
      </c>
      <c r="T256" s="54">
        <f t="shared" ref="T256:T269" si="23">V256/114*100/S256</f>
        <v>0</v>
      </c>
      <c r="U256" s="54">
        <f t="shared" si="22"/>
        <v>0</v>
      </c>
      <c r="V256" s="54">
        <v>0</v>
      </c>
      <c r="W256" s="52" t="s">
        <v>2664</v>
      </c>
      <c r="X256" s="52">
        <v>2012</v>
      </c>
      <c r="Y256" s="52"/>
    </row>
    <row r="257" spans="2:25" s="55" customFormat="1" ht="114.75">
      <c r="B257" s="52" t="s">
        <v>2668</v>
      </c>
      <c r="C257" s="78" t="s">
        <v>246</v>
      </c>
      <c r="D257" s="57" t="s">
        <v>262</v>
      </c>
      <c r="E257" s="56" t="s">
        <v>1995</v>
      </c>
      <c r="F257" s="168" t="s">
        <v>1994</v>
      </c>
      <c r="G257" s="168"/>
      <c r="H257" s="52" t="s">
        <v>243</v>
      </c>
      <c r="I257" s="52">
        <v>0</v>
      </c>
      <c r="J257" s="52">
        <v>751000000</v>
      </c>
      <c r="K257" s="53" t="s">
        <v>2290</v>
      </c>
      <c r="L257" s="52" t="s">
        <v>1463</v>
      </c>
      <c r="M257" s="53" t="s">
        <v>2290</v>
      </c>
      <c r="N257" s="52" t="s">
        <v>241</v>
      </c>
      <c r="O257" s="53" t="s">
        <v>1502</v>
      </c>
      <c r="P257" s="53" t="s">
        <v>344</v>
      </c>
      <c r="Q257" s="52">
        <v>796</v>
      </c>
      <c r="R257" s="52" t="s">
        <v>1818</v>
      </c>
      <c r="S257" s="52">
        <v>13</v>
      </c>
      <c r="T257" s="54">
        <f t="shared" si="23"/>
        <v>3070.1754385964909</v>
      </c>
      <c r="U257" s="54">
        <f t="shared" si="22"/>
        <v>40625</v>
      </c>
      <c r="V257" s="54">
        <v>45500</v>
      </c>
      <c r="W257" s="52"/>
      <c r="X257" s="52">
        <v>2012</v>
      </c>
      <c r="Y257" s="52"/>
    </row>
    <row r="258" spans="2:25" s="55" customFormat="1" ht="114.75">
      <c r="B258" s="52" t="s">
        <v>1015</v>
      </c>
      <c r="C258" s="78" t="s">
        <v>246</v>
      </c>
      <c r="D258" s="58" t="s">
        <v>2034</v>
      </c>
      <c r="E258" s="56" t="s">
        <v>2190</v>
      </c>
      <c r="F258" s="53" t="s">
        <v>2191</v>
      </c>
      <c r="G258" s="53"/>
      <c r="H258" s="52" t="s">
        <v>243</v>
      </c>
      <c r="I258" s="52">
        <v>0</v>
      </c>
      <c r="J258" s="52">
        <v>751000000</v>
      </c>
      <c r="K258" s="53" t="s">
        <v>2290</v>
      </c>
      <c r="L258" s="52" t="s">
        <v>1464</v>
      </c>
      <c r="M258" s="53" t="s">
        <v>2290</v>
      </c>
      <c r="N258" s="52" t="s">
        <v>241</v>
      </c>
      <c r="O258" s="53" t="s">
        <v>1502</v>
      </c>
      <c r="P258" s="53" t="s">
        <v>344</v>
      </c>
      <c r="Q258" s="52">
        <v>796</v>
      </c>
      <c r="R258" s="52" t="s">
        <v>1818</v>
      </c>
      <c r="S258" s="52">
        <v>120</v>
      </c>
      <c r="T258" s="54">
        <f t="shared" si="23"/>
        <v>0</v>
      </c>
      <c r="U258" s="54">
        <f t="shared" si="22"/>
        <v>0</v>
      </c>
      <c r="V258" s="54">
        <v>0</v>
      </c>
      <c r="W258" s="52"/>
      <c r="X258" s="52">
        <v>2012</v>
      </c>
      <c r="Y258" s="52">
        <v>11.14</v>
      </c>
    </row>
    <row r="259" spans="2:25" s="55" customFormat="1" ht="114.75">
      <c r="B259" s="52" t="s">
        <v>2807</v>
      </c>
      <c r="C259" s="78" t="s">
        <v>246</v>
      </c>
      <c r="D259" s="58" t="s">
        <v>2034</v>
      </c>
      <c r="E259" s="56" t="s">
        <v>2190</v>
      </c>
      <c r="F259" s="53" t="s">
        <v>2191</v>
      </c>
      <c r="G259" s="53"/>
      <c r="H259" s="52" t="s">
        <v>243</v>
      </c>
      <c r="I259" s="52">
        <v>0</v>
      </c>
      <c r="J259" s="52">
        <v>751000000</v>
      </c>
      <c r="K259" s="53" t="s">
        <v>2290</v>
      </c>
      <c r="L259" s="52" t="s">
        <v>1502</v>
      </c>
      <c r="M259" s="53" t="s">
        <v>2290</v>
      </c>
      <c r="N259" s="52" t="s">
        <v>241</v>
      </c>
      <c r="O259" s="53" t="s">
        <v>1501</v>
      </c>
      <c r="P259" s="53" t="s">
        <v>344</v>
      </c>
      <c r="Q259" s="52">
        <v>796</v>
      </c>
      <c r="R259" s="52" t="s">
        <v>1818</v>
      </c>
      <c r="S259" s="52">
        <v>120</v>
      </c>
      <c r="T259" s="54">
        <f t="shared" si="23"/>
        <v>263.15789473684214</v>
      </c>
      <c r="U259" s="54">
        <f t="shared" si="22"/>
        <v>32142.857142857145</v>
      </c>
      <c r="V259" s="54">
        <v>36000</v>
      </c>
      <c r="W259" s="52"/>
      <c r="X259" s="52">
        <v>2012</v>
      </c>
      <c r="Y259" s="52"/>
    </row>
    <row r="260" spans="2:25" s="55" customFormat="1" ht="114.75">
      <c r="B260" s="52" t="s">
        <v>1016</v>
      </c>
      <c r="C260" s="78" t="s">
        <v>246</v>
      </c>
      <c r="D260" s="52" t="s">
        <v>2038</v>
      </c>
      <c r="E260" s="56" t="s">
        <v>1996</v>
      </c>
      <c r="F260" s="53" t="s">
        <v>1930</v>
      </c>
      <c r="G260" s="53"/>
      <c r="H260" s="52" t="s">
        <v>243</v>
      </c>
      <c r="I260" s="52">
        <v>0</v>
      </c>
      <c r="J260" s="52">
        <v>751000000</v>
      </c>
      <c r="K260" s="53" t="s">
        <v>2290</v>
      </c>
      <c r="L260" s="52" t="s">
        <v>1464</v>
      </c>
      <c r="M260" s="53" t="s">
        <v>2290</v>
      </c>
      <c r="N260" s="52" t="s">
        <v>241</v>
      </c>
      <c r="O260" s="53" t="s">
        <v>1502</v>
      </c>
      <c r="P260" s="53" t="s">
        <v>344</v>
      </c>
      <c r="Q260" s="52">
        <v>796</v>
      </c>
      <c r="R260" s="52" t="s">
        <v>1818</v>
      </c>
      <c r="S260" s="52">
        <v>240</v>
      </c>
      <c r="T260" s="54">
        <f t="shared" si="23"/>
        <v>0</v>
      </c>
      <c r="U260" s="54">
        <f t="shared" si="22"/>
        <v>0</v>
      </c>
      <c r="V260" s="54">
        <v>0</v>
      </c>
      <c r="W260" s="52"/>
      <c r="X260" s="52">
        <v>2012</v>
      </c>
      <c r="Y260" s="52">
        <v>11.14</v>
      </c>
    </row>
    <row r="261" spans="2:25" s="55" customFormat="1" ht="114.75">
      <c r="B261" s="52" t="s">
        <v>2808</v>
      </c>
      <c r="C261" s="78" t="s">
        <v>246</v>
      </c>
      <c r="D261" s="52" t="s">
        <v>2038</v>
      </c>
      <c r="E261" s="56" t="s">
        <v>1996</v>
      </c>
      <c r="F261" s="53" t="s">
        <v>1930</v>
      </c>
      <c r="G261" s="53"/>
      <c r="H261" s="52" t="s">
        <v>243</v>
      </c>
      <c r="I261" s="52">
        <v>0</v>
      </c>
      <c r="J261" s="52">
        <v>751000000</v>
      </c>
      <c r="K261" s="53" t="s">
        <v>2290</v>
      </c>
      <c r="L261" s="52" t="s">
        <v>1502</v>
      </c>
      <c r="M261" s="53" t="s">
        <v>2290</v>
      </c>
      <c r="N261" s="52" t="s">
        <v>241</v>
      </c>
      <c r="O261" s="53" t="s">
        <v>1501</v>
      </c>
      <c r="P261" s="53" t="s">
        <v>344</v>
      </c>
      <c r="Q261" s="52">
        <v>796</v>
      </c>
      <c r="R261" s="52" t="s">
        <v>1818</v>
      </c>
      <c r="S261" s="52">
        <v>240</v>
      </c>
      <c r="T261" s="54">
        <f t="shared" si="23"/>
        <v>52.631578947368418</v>
      </c>
      <c r="U261" s="54">
        <f t="shared" si="22"/>
        <v>12857.142857142859</v>
      </c>
      <c r="V261" s="54">
        <v>14400</v>
      </c>
      <c r="W261" s="52"/>
      <c r="X261" s="52">
        <v>2012</v>
      </c>
      <c r="Y261" s="52"/>
    </row>
    <row r="262" spans="2:25" s="55" customFormat="1" ht="114.75">
      <c r="B262" s="52" t="s">
        <v>1017</v>
      </c>
      <c r="C262" s="78" t="s">
        <v>246</v>
      </c>
      <c r="D262" s="58" t="s">
        <v>2034</v>
      </c>
      <c r="E262" s="56" t="s">
        <v>1998</v>
      </c>
      <c r="F262" s="53" t="s">
        <v>1931</v>
      </c>
      <c r="G262" s="53"/>
      <c r="H262" s="52" t="s">
        <v>243</v>
      </c>
      <c r="I262" s="52">
        <v>0</v>
      </c>
      <c r="J262" s="52">
        <v>751000000</v>
      </c>
      <c r="K262" s="53" t="s">
        <v>2290</v>
      </c>
      <c r="L262" s="52" t="s">
        <v>1464</v>
      </c>
      <c r="M262" s="53" t="s">
        <v>2290</v>
      </c>
      <c r="N262" s="52" t="s">
        <v>241</v>
      </c>
      <c r="O262" s="53" t="s">
        <v>1502</v>
      </c>
      <c r="P262" s="53" t="s">
        <v>344</v>
      </c>
      <c r="Q262" s="52">
        <v>18</v>
      </c>
      <c r="R262" s="52" t="s">
        <v>1997</v>
      </c>
      <c r="S262" s="52">
        <v>915</v>
      </c>
      <c r="T262" s="54">
        <f t="shared" si="23"/>
        <v>0</v>
      </c>
      <c r="U262" s="54">
        <f t="shared" si="22"/>
        <v>0</v>
      </c>
      <c r="V262" s="54">
        <v>0</v>
      </c>
      <c r="W262" s="52"/>
      <c r="X262" s="52">
        <v>2012</v>
      </c>
      <c r="Y262" s="52">
        <v>11.14</v>
      </c>
    </row>
    <row r="263" spans="2:25" s="55" customFormat="1" ht="114.75">
      <c r="B263" s="52" t="s">
        <v>2809</v>
      </c>
      <c r="C263" s="78" t="s">
        <v>246</v>
      </c>
      <c r="D263" s="58" t="s">
        <v>2034</v>
      </c>
      <c r="E263" s="56" t="s">
        <v>1998</v>
      </c>
      <c r="F263" s="53" t="s">
        <v>1931</v>
      </c>
      <c r="G263" s="53"/>
      <c r="H263" s="52" t="s">
        <v>243</v>
      </c>
      <c r="I263" s="52">
        <v>0</v>
      </c>
      <c r="J263" s="52">
        <v>751000000</v>
      </c>
      <c r="K263" s="53" t="s">
        <v>2290</v>
      </c>
      <c r="L263" s="52" t="s">
        <v>1502</v>
      </c>
      <c r="M263" s="53" t="s">
        <v>2290</v>
      </c>
      <c r="N263" s="52" t="s">
        <v>241</v>
      </c>
      <c r="O263" s="53" t="s">
        <v>1501</v>
      </c>
      <c r="P263" s="53" t="s">
        <v>344</v>
      </c>
      <c r="Q263" s="52">
        <v>18</v>
      </c>
      <c r="R263" s="52" t="s">
        <v>1997</v>
      </c>
      <c r="S263" s="52">
        <v>915</v>
      </c>
      <c r="T263" s="54">
        <f t="shared" si="23"/>
        <v>83.333333333333329</v>
      </c>
      <c r="U263" s="54">
        <f t="shared" si="22"/>
        <v>77611.607142857145</v>
      </c>
      <c r="V263" s="54">
        <v>86925</v>
      </c>
      <c r="W263" s="52"/>
      <c r="X263" s="52">
        <v>2012</v>
      </c>
      <c r="Y263" s="52"/>
    </row>
    <row r="264" spans="2:25" s="55" customFormat="1" ht="114.75">
      <c r="B264" s="52" t="s">
        <v>1018</v>
      </c>
      <c r="C264" s="78" t="s">
        <v>246</v>
      </c>
      <c r="D264" s="52" t="s">
        <v>2035</v>
      </c>
      <c r="E264" s="56" t="s">
        <v>1932</v>
      </c>
      <c r="F264" s="53" t="s">
        <v>1999</v>
      </c>
      <c r="G264" s="53"/>
      <c r="H264" s="52" t="s">
        <v>243</v>
      </c>
      <c r="I264" s="52">
        <v>0</v>
      </c>
      <c r="J264" s="52">
        <v>751000000</v>
      </c>
      <c r="K264" s="53" t="s">
        <v>2290</v>
      </c>
      <c r="L264" s="52" t="s">
        <v>1464</v>
      </c>
      <c r="M264" s="53" t="s">
        <v>2290</v>
      </c>
      <c r="N264" s="52" t="s">
        <v>241</v>
      </c>
      <c r="O264" s="53" t="s">
        <v>1502</v>
      </c>
      <c r="P264" s="53" t="s">
        <v>344</v>
      </c>
      <c r="Q264" s="52">
        <v>796</v>
      </c>
      <c r="R264" s="52" t="s">
        <v>1818</v>
      </c>
      <c r="S264" s="52">
        <v>40</v>
      </c>
      <c r="T264" s="54">
        <f t="shared" si="23"/>
        <v>0</v>
      </c>
      <c r="U264" s="54">
        <f t="shared" si="22"/>
        <v>0</v>
      </c>
      <c r="V264" s="54">
        <v>0</v>
      </c>
      <c r="X264" s="52">
        <v>2012</v>
      </c>
      <c r="Y264" s="52">
        <v>11.14</v>
      </c>
    </row>
    <row r="265" spans="2:25" s="55" customFormat="1" ht="114.75">
      <c r="B265" s="52" t="s">
        <v>2810</v>
      </c>
      <c r="C265" s="78" t="s">
        <v>246</v>
      </c>
      <c r="D265" s="52" t="s">
        <v>2035</v>
      </c>
      <c r="E265" s="56" t="s">
        <v>1932</v>
      </c>
      <c r="F265" s="53" t="s">
        <v>1999</v>
      </c>
      <c r="G265" s="53"/>
      <c r="H265" s="52" t="s">
        <v>243</v>
      </c>
      <c r="I265" s="52">
        <v>0</v>
      </c>
      <c r="J265" s="52">
        <v>751000000</v>
      </c>
      <c r="K265" s="53" t="s">
        <v>2290</v>
      </c>
      <c r="L265" s="52" t="s">
        <v>1502</v>
      </c>
      <c r="M265" s="53" t="s">
        <v>2290</v>
      </c>
      <c r="N265" s="52" t="s">
        <v>241</v>
      </c>
      <c r="O265" s="53" t="s">
        <v>1501</v>
      </c>
      <c r="P265" s="53" t="s">
        <v>344</v>
      </c>
      <c r="Q265" s="52">
        <v>796</v>
      </c>
      <c r="R265" s="52" t="s">
        <v>1818</v>
      </c>
      <c r="S265" s="52">
        <v>40</v>
      </c>
      <c r="T265" s="54">
        <f t="shared" si="23"/>
        <v>1578.9473684210527</v>
      </c>
      <c r="U265" s="54">
        <f t="shared" si="22"/>
        <v>64285.71428571429</v>
      </c>
      <c r="V265" s="54">
        <v>72000</v>
      </c>
      <c r="W265" s="52"/>
      <c r="X265" s="52">
        <v>2012</v>
      </c>
      <c r="Y265" s="52"/>
    </row>
    <row r="266" spans="2:25" s="55" customFormat="1" ht="114.75">
      <c r="B266" s="52" t="s">
        <v>1019</v>
      </c>
      <c r="C266" s="78" t="s">
        <v>246</v>
      </c>
      <c r="D266" s="52" t="s">
        <v>2035</v>
      </c>
      <c r="E266" s="56" t="s">
        <v>1933</v>
      </c>
      <c r="F266" s="53" t="s">
        <v>1999</v>
      </c>
      <c r="G266" s="53"/>
      <c r="H266" s="52" t="s">
        <v>243</v>
      </c>
      <c r="I266" s="52">
        <v>0</v>
      </c>
      <c r="J266" s="52">
        <v>751000000</v>
      </c>
      <c r="K266" s="53" t="s">
        <v>2290</v>
      </c>
      <c r="L266" s="52" t="s">
        <v>1464</v>
      </c>
      <c r="M266" s="53" t="s">
        <v>2290</v>
      </c>
      <c r="N266" s="52" t="s">
        <v>241</v>
      </c>
      <c r="O266" s="53" t="s">
        <v>1502</v>
      </c>
      <c r="P266" s="53" t="s">
        <v>344</v>
      </c>
      <c r="Q266" s="52">
        <v>796</v>
      </c>
      <c r="R266" s="52" t="s">
        <v>1818</v>
      </c>
      <c r="S266" s="52">
        <v>20</v>
      </c>
      <c r="T266" s="54">
        <f t="shared" si="23"/>
        <v>0</v>
      </c>
      <c r="U266" s="54">
        <f t="shared" si="22"/>
        <v>0</v>
      </c>
      <c r="V266" s="54">
        <v>0</v>
      </c>
      <c r="W266" s="52"/>
      <c r="X266" s="52">
        <v>2012</v>
      </c>
      <c r="Y266" s="52">
        <v>11.14</v>
      </c>
    </row>
    <row r="267" spans="2:25" s="55" customFormat="1" ht="114.75">
      <c r="B267" s="52" t="s">
        <v>2811</v>
      </c>
      <c r="C267" s="78" t="s">
        <v>246</v>
      </c>
      <c r="D267" s="52" t="s">
        <v>2035</v>
      </c>
      <c r="E267" s="56" t="s">
        <v>1933</v>
      </c>
      <c r="F267" s="53" t="s">
        <v>1999</v>
      </c>
      <c r="G267" s="53"/>
      <c r="H267" s="52" t="s">
        <v>243</v>
      </c>
      <c r="I267" s="52">
        <v>0</v>
      </c>
      <c r="J267" s="52">
        <v>751000000</v>
      </c>
      <c r="K267" s="53" t="s">
        <v>2290</v>
      </c>
      <c r="L267" s="52" t="s">
        <v>1502</v>
      </c>
      <c r="M267" s="53" t="s">
        <v>2290</v>
      </c>
      <c r="N267" s="52" t="s">
        <v>241</v>
      </c>
      <c r="O267" s="53" t="s">
        <v>1501</v>
      </c>
      <c r="P267" s="53" t="s">
        <v>344</v>
      </c>
      <c r="Q267" s="52">
        <v>796</v>
      </c>
      <c r="R267" s="52" t="s">
        <v>1818</v>
      </c>
      <c r="S267" s="52">
        <v>20</v>
      </c>
      <c r="T267" s="54">
        <f t="shared" si="23"/>
        <v>2631.5789473684208</v>
      </c>
      <c r="U267" s="54">
        <f t="shared" si="22"/>
        <v>53571.428571428565</v>
      </c>
      <c r="V267" s="54">
        <v>60000</v>
      </c>
      <c r="W267" s="52"/>
      <c r="X267" s="52">
        <v>2012</v>
      </c>
      <c r="Y267" s="52"/>
    </row>
    <row r="268" spans="2:25" s="55" customFormat="1" ht="114.75">
      <c r="B268" s="52" t="s">
        <v>1020</v>
      </c>
      <c r="C268" s="78" t="s">
        <v>246</v>
      </c>
      <c r="D268" s="52" t="s">
        <v>2034</v>
      </c>
      <c r="E268" s="56" t="s">
        <v>1734</v>
      </c>
      <c r="F268" s="56" t="s">
        <v>1734</v>
      </c>
      <c r="G268" s="56"/>
      <c r="H268" s="52" t="s">
        <v>243</v>
      </c>
      <c r="I268" s="52">
        <v>0</v>
      </c>
      <c r="J268" s="52">
        <v>751000000</v>
      </c>
      <c r="K268" s="53" t="s">
        <v>2290</v>
      </c>
      <c r="L268" s="52" t="s">
        <v>1464</v>
      </c>
      <c r="M268" s="53" t="s">
        <v>2290</v>
      </c>
      <c r="N268" s="52" t="s">
        <v>241</v>
      </c>
      <c r="O268" s="53" t="s">
        <v>1502</v>
      </c>
      <c r="P268" s="53" t="s">
        <v>344</v>
      </c>
      <c r="Q268" s="52">
        <v>796</v>
      </c>
      <c r="R268" s="52" t="s">
        <v>1818</v>
      </c>
      <c r="S268" s="52">
        <v>30</v>
      </c>
      <c r="T268" s="54">
        <f t="shared" si="23"/>
        <v>0</v>
      </c>
      <c r="U268" s="54">
        <f t="shared" si="22"/>
        <v>0</v>
      </c>
      <c r="V268" s="54">
        <v>0</v>
      </c>
      <c r="W268" s="52"/>
      <c r="X268" s="52">
        <v>2012</v>
      </c>
      <c r="Y268" s="52">
        <v>11.14</v>
      </c>
    </row>
    <row r="269" spans="2:25" s="55" customFormat="1" ht="114.75">
      <c r="B269" s="52" t="s">
        <v>2812</v>
      </c>
      <c r="C269" s="78" t="s">
        <v>246</v>
      </c>
      <c r="D269" s="52" t="s">
        <v>2034</v>
      </c>
      <c r="E269" s="56" t="s">
        <v>1734</v>
      </c>
      <c r="F269" s="56" t="s">
        <v>1734</v>
      </c>
      <c r="G269" s="56"/>
      <c r="H269" s="52" t="s">
        <v>243</v>
      </c>
      <c r="I269" s="52">
        <v>0</v>
      </c>
      <c r="J269" s="52">
        <v>751000000</v>
      </c>
      <c r="K269" s="53" t="s">
        <v>2290</v>
      </c>
      <c r="L269" s="52" t="s">
        <v>1502</v>
      </c>
      <c r="M269" s="53" t="s">
        <v>2290</v>
      </c>
      <c r="N269" s="52" t="s">
        <v>241</v>
      </c>
      <c r="O269" s="53" t="s">
        <v>1501</v>
      </c>
      <c r="P269" s="53" t="s">
        <v>344</v>
      </c>
      <c r="Q269" s="52">
        <v>796</v>
      </c>
      <c r="R269" s="52" t="s">
        <v>1818</v>
      </c>
      <c r="S269" s="52">
        <v>30</v>
      </c>
      <c r="T269" s="54">
        <f t="shared" si="23"/>
        <v>921.0526315789474</v>
      </c>
      <c r="U269" s="54">
        <f t="shared" si="22"/>
        <v>28125</v>
      </c>
      <c r="V269" s="54">
        <v>31500</v>
      </c>
      <c r="W269" s="52"/>
      <c r="X269" s="52">
        <v>2012</v>
      </c>
      <c r="Y269" s="52"/>
    </row>
    <row r="270" spans="2:25" s="55" customFormat="1" ht="51">
      <c r="B270" s="52" t="s">
        <v>1021</v>
      </c>
      <c r="C270" s="78" t="s">
        <v>246</v>
      </c>
      <c r="D270" s="66" t="s">
        <v>261</v>
      </c>
      <c r="E270" s="56" t="s">
        <v>115</v>
      </c>
      <c r="F270" s="53" t="s">
        <v>1539</v>
      </c>
      <c r="G270" s="53"/>
      <c r="H270" s="52" t="s">
        <v>243</v>
      </c>
      <c r="I270" s="52">
        <v>10</v>
      </c>
      <c r="J270" s="52">
        <v>110000000</v>
      </c>
      <c r="K270" s="56" t="s">
        <v>125</v>
      </c>
      <c r="L270" s="52" t="s">
        <v>1503</v>
      </c>
      <c r="M270" s="56" t="s">
        <v>125</v>
      </c>
      <c r="N270" s="52" t="s">
        <v>241</v>
      </c>
      <c r="O270" s="52" t="s">
        <v>343</v>
      </c>
      <c r="P270" s="53" t="s">
        <v>2000</v>
      </c>
      <c r="Q270" s="52">
        <v>839</v>
      </c>
      <c r="R270" s="52" t="s">
        <v>348</v>
      </c>
      <c r="S270" s="54">
        <v>1</v>
      </c>
      <c r="T270" s="54">
        <f t="shared" ref="T270:T288" si="24">V270/114*100/S270</f>
        <v>105263.15789473683</v>
      </c>
      <c r="U270" s="54">
        <f t="shared" ref="U270:U306" si="25">V270/112*100</f>
        <v>107142.85714285713</v>
      </c>
      <c r="V270" s="54">
        <v>120000</v>
      </c>
      <c r="W270" s="52"/>
      <c r="X270" s="52">
        <v>2012</v>
      </c>
      <c r="Y270" s="52"/>
    </row>
    <row r="271" spans="2:25" s="55" customFormat="1" ht="51">
      <c r="B271" s="52" t="s">
        <v>1022</v>
      </c>
      <c r="C271" s="78" t="s">
        <v>246</v>
      </c>
      <c r="D271" s="66" t="s">
        <v>261</v>
      </c>
      <c r="E271" s="56" t="s">
        <v>115</v>
      </c>
      <c r="F271" s="53" t="s">
        <v>1539</v>
      </c>
      <c r="G271" s="53"/>
      <c r="H271" s="52" t="s">
        <v>243</v>
      </c>
      <c r="I271" s="52">
        <v>10</v>
      </c>
      <c r="J271" s="52">
        <v>150000000</v>
      </c>
      <c r="K271" s="56" t="s">
        <v>126</v>
      </c>
      <c r="L271" s="52" t="s">
        <v>1503</v>
      </c>
      <c r="M271" s="56" t="s">
        <v>126</v>
      </c>
      <c r="N271" s="52" t="s">
        <v>241</v>
      </c>
      <c r="O271" s="52" t="s">
        <v>343</v>
      </c>
      <c r="P271" s="53" t="s">
        <v>2000</v>
      </c>
      <c r="Q271" s="52">
        <v>839</v>
      </c>
      <c r="R271" s="52" t="s">
        <v>348</v>
      </c>
      <c r="S271" s="54">
        <v>1</v>
      </c>
      <c r="T271" s="54">
        <f t="shared" si="24"/>
        <v>105263.15789473683</v>
      </c>
      <c r="U271" s="54">
        <f t="shared" si="25"/>
        <v>107142.85714285713</v>
      </c>
      <c r="V271" s="54">
        <v>120000</v>
      </c>
      <c r="W271" s="52"/>
      <c r="X271" s="52">
        <v>2012</v>
      </c>
      <c r="Y271" s="52"/>
    </row>
    <row r="272" spans="2:25" s="55" customFormat="1" ht="51">
      <c r="B272" s="52" t="s">
        <v>1023</v>
      </c>
      <c r="C272" s="78" t="s">
        <v>246</v>
      </c>
      <c r="D272" s="66" t="s">
        <v>261</v>
      </c>
      <c r="E272" s="56" t="s">
        <v>115</v>
      </c>
      <c r="F272" s="53" t="s">
        <v>1539</v>
      </c>
      <c r="G272" s="53"/>
      <c r="H272" s="52" t="s">
        <v>243</v>
      </c>
      <c r="I272" s="52">
        <v>10</v>
      </c>
      <c r="J272" s="52">
        <v>190000000</v>
      </c>
      <c r="K272" s="56" t="s">
        <v>117</v>
      </c>
      <c r="L272" s="52" t="s">
        <v>1503</v>
      </c>
      <c r="M272" s="56" t="s">
        <v>117</v>
      </c>
      <c r="N272" s="52" t="s">
        <v>241</v>
      </c>
      <c r="O272" s="52" t="s">
        <v>343</v>
      </c>
      <c r="P272" s="53" t="s">
        <v>2000</v>
      </c>
      <c r="Q272" s="52">
        <v>839</v>
      </c>
      <c r="R272" s="52" t="s">
        <v>348</v>
      </c>
      <c r="S272" s="54">
        <v>1</v>
      </c>
      <c r="T272" s="54">
        <f t="shared" si="24"/>
        <v>105263.15789473683</v>
      </c>
      <c r="U272" s="54">
        <f t="shared" si="25"/>
        <v>107142.85714285713</v>
      </c>
      <c r="V272" s="54">
        <v>120000</v>
      </c>
      <c r="W272" s="52"/>
      <c r="X272" s="52">
        <v>2012</v>
      </c>
      <c r="Y272" s="52"/>
    </row>
    <row r="273" spans="2:25" s="55" customFormat="1" ht="51">
      <c r="B273" s="52" t="s">
        <v>1024</v>
      </c>
      <c r="C273" s="78" t="s">
        <v>246</v>
      </c>
      <c r="D273" s="66" t="s">
        <v>261</v>
      </c>
      <c r="E273" s="56" t="s">
        <v>115</v>
      </c>
      <c r="F273" s="53" t="s">
        <v>1539</v>
      </c>
      <c r="G273" s="53"/>
      <c r="H273" s="52" t="s">
        <v>243</v>
      </c>
      <c r="I273" s="52">
        <v>10</v>
      </c>
      <c r="J273" s="52">
        <v>751000000</v>
      </c>
      <c r="K273" s="63" t="s">
        <v>1437</v>
      </c>
      <c r="L273" s="52" t="s">
        <v>1503</v>
      </c>
      <c r="M273" s="63" t="s">
        <v>1437</v>
      </c>
      <c r="N273" s="52" t="s">
        <v>241</v>
      </c>
      <c r="O273" s="52" t="s">
        <v>343</v>
      </c>
      <c r="P273" s="53" t="s">
        <v>2000</v>
      </c>
      <c r="Q273" s="52">
        <v>839</v>
      </c>
      <c r="R273" s="52" t="s">
        <v>348</v>
      </c>
      <c r="S273" s="54">
        <v>1</v>
      </c>
      <c r="T273" s="54">
        <f t="shared" si="24"/>
        <v>105263.15789473683</v>
      </c>
      <c r="U273" s="54">
        <f t="shared" si="25"/>
        <v>107142.85714285713</v>
      </c>
      <c r="V273" s="54">
        <v>120000</v>
      </c>
      <c r="W273" s="52"/>
      <c r="X273" s="52">
        <v>2012</v>
      </c>
      <c r="Y273" s="52"/>
    </row>
    <row r="274" spans="2:25" s="55" customFormat="1" ht="57" customHeight="1">
      <c r="B274" s="52" t="s">
        <v>1025</v>
      </c>
      <c r="C274" s="78" t="s">
        <v>246</v>
      </c>
      <c r="D274" s="66" t="s">
        <v>261</v>
      </c>
      <c r="E274" s="56" t="s">
        <v>115</v>
      </c>
      <c r="F274" s="53" t="s">
        <v>1539</v>
      </c>
      <c r="G274" s="53"/>
      <c r="H274" s="52" t="s">
        <v>243</v>
      </c>
      <c r="I274" s="52">
        <v>10</v>
      </c>
      <c r="J274" s="52">
        <v>711000000</v>
      </c>
      <c r="K274" s="56" t="s">
        <v>151</v>
      </c>
      <c r="L274" s="52" t="s">
        <v>1471</v>
      </c>
      <c r="M274" s="53" t="s">
        <v>1816</v>
      </c>
      <c r="N274" s="52" t="s">
        <v>241</v>
      </c>
      <c r="O274" s="52" t="s">
        <v>1548</v>
      </c>
      <c r="P274" s="53" t="s">
        <v>2000</v>
      </c>
      <c r="Q274" s="52">
        <v>839</v>
      </c>
      <c r="R274" s="52" t="s">
        <v>348</v>
      </c>
      <c r="S274" s="54">
        <v>1</v>
      </c>
      <c r="T274" s="54">
        <f t="shared" si="24"/>
        <v>0</v>
      </c>
      <c r="U274" s="54">
        <f t="shared" si="25"/>
        <v>0</v>
      </c>
      <c r="V274" s="54">
        <v>0</v>
      </c>
      <c r="W274" s="52"/>
      <c r="X274" s="52">
        <v>2012</v>
      </c>
      <c r="Y274" s="53" t="s">
        <v>2700</v>
      </c>
    </row>
    <row r="275" spans="2:25" s="55" customFormat="1" ht="57" customHeight="1">
      <c r="B275" s="52" t="s">
        <v>2701</v>
      </c>
      <c r="C275" s="78" t="s">
        <v>246</v>
      </c>
      <c r="D275" s="66" t="s">
        <v>261</v>
      </c>
      <c r="E275" s="56" t="s">
        <v>115</v>
      </c>
      <c r="F275" s="53" t="s">
        <v>2702</v>
      </c>
      <c r="G275" s="53"/>
      <c r="H275" s="52" t="s">
        <v>243</v>
      </c>
      <c r="I275" s="52">
        <v>10</v>
      </c>
      <c r="J275" s="52">
        <v>711000000</v>
      </c>
      <c r="K275" s="56" t="s">
        <v>151</v>
      </c>
      <c r="L275" s="52" t="s">
        <v>1502</v>
      </c>
      <c r="M275" s="53" t="s">
        <v>1816</v>
      </c>
      <c r="N275" s="52" t="s">
        <v>241</v>
      </c>
      <c r="O275" s="52" t="s">
        <v>1502</v>
      </c>
      <c r="P275" s="53" t="s">
        <v>2000</v>
      </c>
      <c r="Q275" s="52">
        <v>839</v>
      </c>
      <c r="R275" s="52" t="s">
        <v>348</v>
      </c>
      <c r="S275" s="54">
        <v>2</v>
      </c>
      <c r="T275" s="54">
        <f t="shared" si="24"/>
        <v>105263.15789473683</v>
      </c>
      <c r="U275" s="54">
        <f t="shared" si="25"/>
        <v>214285.71428571426</v>
      </c>
      <c r="V275" s="54">
        <f>120000+120000</f>
        <v>240000</v>
      </c>
      <c r="W275" s="52"/>
      <c r="X275" s="52">
        <v>2012</v>
      </c>
      <c r="Y275" s="52"/>
    </row>
    <row r="276" spans="2:25" s="55" customFormat="1" ht="51">
      <c r="B276" s="52" t="s">
        <v>1026</v>
      </c>
      <c r="C276" s="78" t="s">
        <v>246</v>
      </c>
      <c r="D276" s="66" t="s">
        <v>261</v>
      </c>
      <c r="E276" s="56" t="s">
        <v>115</v>
      </c>
      <c r="F276" s="53" t="s">
        <v>1539</v>
      </c>
      <c r="G276" s="53"/>
      <c r="H276" s="52" t="s">
        <v>243</v>
      </c>
      <c r="I276" s="52">
        <v>10</v>
      </c>
      <c r="J276" s="52">
        <v>230000000</v>
      </c>
      <c r="K276" s="56" t="s">
        <v>118</v>
      </c>
      <c r="L276" s="52" t="s">
        <v>2135</v>
      </c>
      <c r="M276" s="56" t="s">
        <v>118</v>
      </c>
      <c r="N276" s="52" t="s">
        <v>241</v>
      </c>
      <c r="O276" s="52" t="s">
        <v>2135</v>
      </c>
      <c r="P276" s="53" t="s">
        <v>2000</v>
      </c>
      <c r="Q276" s="52">
        <v>839</v>
      </c>
      <c r="R276" s="52" t="s">
        <v>348</v>
      </c>
      <c r="S276" s="54">
        <v>1</v>
      </c>
      <c r="T276" s="54">
        <f t="shared" si="24"/>
        <v>105263.15789473683</v>
      </c>
      <c r="U276" s="54">
        <f t="shared" si="25"/>
        <v>107142.85714285713</v>
      </c>
      <c r="V276" s="54">
        <v>120000</v>
      </c>
      <c r="W276" s="52"/>
      <c r="X276" s="52">
        <v>2012</v>
      </c>
      <c r="Y276" s="52"/>
    </row>
    <row r="277" spans="2:25" s="55" customFormat="1" ht="51">
      <c r="B277" s="52" t="s">
        <v>1027</v>
      </c>
      <c r="C277" s="78" t="s">
        <v>246</v>
      </c>
      <c r="D277" s="66" t="s">
        <v>261</v>
      </c>
      <c r="E277" s="56" t="s">
        <v>115</v>
      </c>
      <c r="F277" s="53" t="s">
        <v>1539</v>
      </c>
      <c r="G277" s="53"/>
      <c r="H277" s="52" t="s">
        <v>243</v>
      </c>
      <c r="I277" s="52">
        <v>10</v>
      </c>
      <c r="J277" s="52">
        <v>630000000</v>
      </c>
      <c r="K277" s="56" t="s">
        <v>97</v>
      </c>
      <c r="L277" s="52" t="s">
        <v>2153</v>
      </c>
      <c r="M277" s="56" t="s">
        <v>97</v>
      </c>
      <c r="N277" s="52" t="s">
        <v>241</v>
      </c>
      <c r="O277" s="52" t="s">
        <v>2153</v>
      </c>
      <c r="P277" s="53" t="s">
        <v>2000</v>
      </c>
      <c r="Q277" s="52">
        <v>839</v>
      </c>
      <c r="R277" s="52" t="s">
        <v>348</v>
      </c>
      <c r="S277" s="54">
        <v>1</v>
      </c>
      <c r="T277" s="54">
        <f t="shared" si="24"/>
        <v>105263.15789473683</v>
      </c>
      <c r="U277" s="54">
        <f t="shared" si="25"/>
        <v>107142.85714285713</v>
      </c>
      <c r="V277" s="54">
        <v>120000</v>
      </c>
      <c r="W277" s="52"/>
      <c r="X277" s="52">
        <v>2012</v>
      </c>
      <c r="Y277" s="52"/>
    </row>
    <row r="278" spans="2:25" s="55" customFormat="1" ht="51">
      <c r="B278" s="52" t="s">
        <v>1028</v>
      </c>
      <c r="C278" s="78" t="s">
        <v>246</v>
      </c>
      <c r="D278" s="66" t="s">
        <v>261</v>
      </c>
      <c r="E278" s="56" t="s">
        <v>115</v>
      </c>
      <c r="F278" s="53" t="s">
        <v>1539</v>
      </c>
      <c r="G278" s="53"/>
      <c r="H278" s="52" t="s">
        <v>243</v>
      </c>
      <c r="I278" s="52">
        <v>10</v>
      </c>
      <c r="J278" s="52">
        <v>310000000</v>
      </c>
      <c r="K278" s="56" t="s">
        <v>119</v>
      </c>
      <c r="L278" s="52" t="s">
        <v>1503</v>
      </c>
      <c r="M278" s="56" t="s">
        <v>119</v>
      </c>
      <c r="N278" s="52" t="s">
        <v>241</v>
      </c>
      <c r="O278" s="52" t="s">
        <v>343</v>
      </c>
      <c r="P278" s="53" t="s">
        <v>2000</v>
      </c>
      <c r="Q278" s="52">
        <v>839</v>
      </c>
      <c r="R278" s="52" t="s">
        <v>348</v>
      </c>
      <c r="S278" s="54">
        <v>1</v>
      </c>
      <c r="T278" s="54">
        <f t="shared" si="24"/>
        <v>105263.15789473683</v>
      </c>
      <c r="U278" s="54">
        <f t="shared" si="25"/>
        <v>107142.85714285713</v>
      </c>
      <c r="V278" s="54">
        <v>120000</v>
      </c>
      <c r="W278" s="52"/>
      <c r="X278" s="52">
        <v>2012</v>
      </c>
      <c r="Y278" s="52"/>
    </row>
    <row r="279" spans="2:25" s="55" customFormat="1" ht="51">
      <c r="B279" s="52" t="s">
        <v>1029</v>
      </c>
      <c r="C279" s="78" t="s">
        <v>246</v>
      </c>
      <c r="D279" s="66" t="s">
        <v>261</v>
      </c>
      <c r="E279" s="56" t="s">
        <v>115</v>
      </c>
      <c r="F279" s="53" t="s">
        <v>1539</v>
      </c>
      <c r="G279" s="53"/>
      <c r="H279" s="52" t="s">
        <v>243</v>
      </c>
      <c r="I279" s="52">
        <v>10</v>
      </c>
      <c r="J279" s="52">
        <v>270000000</v>
      </c>
      <c r="K279" s="56" t="s">
        <v>98</v>
      </c>
      <c r="L279" s="52" t="s">
        <v>1503</v>
      </c>
      <c r="M279" s="56" t="s">
        <v>98</v>
      </c>
      <c r="N279" s="52" t="s">
        <v>241</v>
      </c>
      <c r="O279" s="52" t="s">
        <v>343</v>
      </c>
      <c r="P279" s="53" t="s">
        <v>2000</v>
      </c>
      <c r="Q279" s="52">
        <v>839</v>
      </c>
      <c r="R279" s="52" t="s">
        <v>348</v>
      </c>
      <c r="S279" s="54">
        <v>1</v>
      </c>
      <c r="T279" s="54">
        <f t="shared" si="24"/>
        <v>105263.15789473683</v>
      </c>
      <c r="U279" s="54">
        <f t="shared" si="25"/>
        <v>107142.85714285713</v>
      </c>
      <c r="V279" s="54">
        <v>120000</v>
      </c>
      <c r="W279" s="52"/>
      <c r="X279" s="52">
        <v>2012</v>
      </c>
      <c r="Y279" s="52"/>
    </row>
    <row r="280" spans="2:25" s="55" customFormat="1" ht="51">
      <c r="B280" s="52" t="s">
        <v>1030</v>
      </c>
      <c r="C280" s="78" t="s">
        <v>246</v>
      </c>
      <c r="D280" s="66" t="s">
        <v>261</v>
      </c>
      <c r="E280" s="56" t="s">
        <v>115</v>
      </c>
      <c r="F280" s="53" t="s">
        <v>1539</v>
      </c>
      <c r="G280" s="53"/>
      <c r="H280" s="52" t="s">
        <v>243</v>
      </c>
      <c r="I280" s="52">
        <v>10</v>
      </c>
      <c r="J280" s="52">
        <v>350000000</v>
      </c>
      <c r="K280" s="56" t="s">
        <v>120</v>
      </c>
      <c r="L280" s="52" t="s">
        <v>1503</v>
      </c>
      <c r="M280" s="56" t="s">
        <v>120</v>
      </c>
      <c r="N280" s="52" t="s">
        <v>241</v>
      </c>
      <c r="O280" s="52" t="s">
        <v>343</v>
      </c>
      <c r="P280" s="53" t="s">
        <v>2000</v>
      </c>
      <c r="Q280" s="52">
        <v>839</v>
      </c>
      <c r="R280" s="52" t="s">
        <v>348</v>
      </c>
      <c r="S280" s="54">
        <v>1</v>
      </c>
      <c r="T280" s="54">
        <f t="shared" si="24"/>
        <v>105263.15789473683</v>
      </c>
      <c r="U280" s="54">
        <f t="shared" si="25"/>
        <v>107142.85714285713</v>
      </c>
      <c r="V280" s="54">
        <v>120000</v>
      </c>
      <c r="W280" s="52"/>
      <c r="X280" s="52">
        <v>2012</v>
      </c>
      <c r="Y280" s="52"/>
    </row>
    <row r="281" spans="2:25" s="55" customFormat="1" ht="51">
      <c r="B281" s="52" t="s">
        <v>1031</v>
      </c>
      <c r="C281" s="78" t="s">
        <v>246</v>
      </c>
      <c r="D281" s="66" t="s">
        <v>261</v>
      </c>
      <c r="E281" s="56" t="s">
        <v>115</v>
      </c>
      <c r="F281" s="53" t="s">
        <v>1539</v>
      </c>
      <c r="G281" s="53"/>
      <c r="H281" s="52" t="s">
        <v>243</v>
      </c>
      <c r="I281" s="52">
        <v>10</v>
      </c>
      <c r="J281" s="52">
        <v>390000000</v>
      </c>
      <c r="K281" s="56" t="s">
        <v>121</v>
      </c>
      <c r="L281" s="52" t="s">
        <v>1503</v>
      </c>
      <c r="M281" s="56" t="s">
        <v>121</v>
      </c>
      <c r="N281" s="52" t="s">
        <v>241</v>
      </c>
      <c r="O281" s="52" t="s">
        <v>343</v>
      </c>
      <c r="P281" s="53" t="s">
        <v>2000</v>
      </c>
      <c r="Q281" s="52">
        <v>839</v>
      </c>
      <c r="R281" s="52" t="s">
        <v>348</v>
      </c>
      <c r="S281" s="54">
        <v>1</v>
      </c>
      <c r="T281" s="54">
        <f t="shared" si="24"/>
        <v>0</v>
      </c>
      <c r="U281" s="54">
        <f t="shared" si="25"/>
        <v>0</v>
      </c>
      <c r="V281" s="54">
        <v>0</v>
      </c>
      <c r="W281" s="52"/>
      <c r="X281" s="52">
        <v>2012</v>
      </c>
      <c r="Y281" s="52">
        <v>11.14</v>
      </c>
    </row>
    <row r="282" spans="2:25" s="55" customFormat="1" ht="51">
      <c r="B282" s="52" t="s">
        <v>2631</v>
      </c>
      <c r="C282" s="78" t="s">
        <v>246</v>
      </c>
      <c r="D282" s="66" t="s">
        <v>261</v>
      </c>
      <c r="E282" s="56" t="s">
        <v>115</v>
      </c>
      <c r="F282" s="53" t="s">
        <v>1539</v>
      </c>
      <c r="G282" s="53"/>
      <c r="H282" s="52" t="s">
        <v>243</v>
      </c>
      <c r="I282" s="52">
        <v>10</v>
      </c>
      <c r="J282" s="52">
        <v>390000000</v>
      </c>
      <c r="K282" s="56" t="s">
        <v>121</v>
      </c>
      <c r="L282" s="52" t="s">
        <v>2303</v>
      </c>
      <c r="M282" s="56" t="s">
        <v>121</v>
      </c>
      <c r="N282" s="52" t="s">
        <v>241</v>
      </c>
      <c r="O282" s="52" t="s">
        <v>1685</v>
      </c>
      <c r="P282" s="53" t="s">
        <v>2000</v>
      </c>
      <c r="Q282" s="52">
        <v>839</v>
      </c>
      <c r="R282" s="52" t="s">
        <v>348</v>
      </c>
      <c r="S282" s="54">
        <v>1</v>
      </c>
      <c r="T282" s="54">
        <f t="shared" si="24"/>
        <v>105263.15789473683</v>
      </c>
      <c r="U282" s="54">
        <f t="shared" si="25"/>
        <v>107142.85714285713</v>
      </c>
      <c r="V282" s="54">
        <v>120000</v>
      </c>
      <c r="W282" s="52"/>
      <c r="X282" s="52">
        <v>2012</v>
      </c>
      <c r="Y282" s="52"/>
    </row>
    <row r="283" spans="2:25" s="55" customFormat="1" ht="51">
      <c r="B283" s="52" t="s">
        <v>1032</v>
      </c>
      <c r="C283" s="78" t="s">
        <v>246</v>
      </c>
      <c r="D283" s="66" t="s">
        <v>261</v>
      </c>
      <c r="E283" s="56" t="s">
        <v>115</v>
      </c>
      <c r="F283" s="53" t="s">
        <v>1539</v>
      </c>
      <c r="G283" s="53"/>
      <c r="H283" s="52" t="s">
        <v>243</v>
      </c>
      <c r="I283" s="52">
        <v>10</v>
      </c>
      <c r="J283" s="52">
        <v>430000000</v>
      </c>
      <c r="K283" s="56" t="s">
        <v>122</v>
      </c>
      <c r="L283" s="52" t="s">
        <v>1503</v>
      </c>
      <c r="M283" s="56" t="s">
        <v>122</v>
      </c>
      <c r="N283" s="52" t="s">
        <v>241</v>
      </c>
      <c r="O283" s="52" t="s">
        <v>343</v>
      </c>
      <c r="P283" s="53" t="s">
        <v>2000</v>
      </c>
      <c r="Q283" s="52">
        <v>839</v>
      </c>
      <c r="R283" s="52" t="s">
        <v>348</v>
      </c>
      <c r="S283" s="54">
        <v>1</v>
      </c>
      <c r="T283" s="54">
        <f t="shared" si="24"/>
        <v>105263.15789473683</v>
      </c>
      <c r="U283" s="54">
        <f t="shared" si="25"/>
        <v>107142.85714285713</v>
      </c>
      <c r="V283" s="54">
        <v>120000</v>
      </c>
      <c r="W283" s="52"/>
      <c r="X283" s="52">
        <v>2012</v>
      </c>
      <c r="Y283" s="52"/>
    </row>
    <row r="284" spans="2:25" s="55" customFormat="1" ht="51">
      <c r="B284" s="52" t="s">
        <v>1033</v>
      </c>
      <c r="C284" s="78" t="s">
        <v>246</v>
      </c>
      <c r="D284" s="66" t="s">
        <v>261</v>
      </c>
      <c r="E284" s="56" t="s">
        <v>115</v>
      </c>
      <c r="F284" s="53" t="s">
        <v>1539</v>
      </c>
      <c r="G284" s="53"/>
      <c r="H284" s="52" t="s">
        <v>243</v>
      </c>
      <c r="I284" s="52">
        <v>10</v>
      </c>
      <c r="J284" s="52">
        <v>470000000</v>
      </c>
      <c r="K284" s="56" t="s">
        <v>123</v>
      </c>
      <c r="L284" s="52" t="s">
        <v>1503</v>
      </c>
      <c r="M284" s="56" t="s">
        <v>123</v>
      </c>
      <c r="N284" s="52" t="s">
        <v>241</v>
      </c>
      <c r="O284" s="52" t="s">
        <v>343</v>
      </c>
      <c r="P284" s="53" t="s">
        <v>2000</v>
      </c>
      <c r="Q284" s="52">
        <v>839</v>
      </c>
      <c r="R284" s="52" t="s">
        <v>348</v>
      </c>
      <c r="S284" s="54">
        <v>1</v>
      </c>
      <c r="T284" s="54">
        <f t="shared" si="24"/>
        <v>105263.15789473683</v>
      </c>
      <c r="U284" s="54">
        <f t="shared" si="25"/>
        <v>107142.85714285713</v>
      </c>
      <c r="V284" s="54">
        <v>120000</v>
      </c>
      <c r="W284" s="52"/>
      <c r="X284" s="52">
        <v>2012</v>
      </c>
      <c r="Y284" s="52"/>
    </row>
    <row r="285" spans="2:25" s="55" customFormat="1" ht="51">
      <c r="B285" s="52" t="s">
        <v>1034</v>
      </c>
      <c r="C285" s="78" t="s">
        <v>246</v>
      </c>
      <c r="D285" s="66" t="s">
        <v>261</v>
      </c>
      <c r="E285" s="56" t="s">
        <v>115</v>
      </c>
      <c r="F285" s="53" t="s">
        <v>1539</v>
      </c>
      <c r="G285" s="53"/>
      <c r="H285" s="52" t="s">
        <v>243</v>
      </c>
      <c r="I285" s="52">
        <v>10</v>
      </c>
      <c r="J285" s="52">
        <v>550000000</v>
      </c>
      <c r="K285" s="56" t="s">
        <v>124</v>
      </c>
      <c r="L285" s="53" t="s">
        <v>2171</v>
      </c>
      <c r="M285" s="56" t="s">
        <v>124</v>
      </c>
      <c r="N285" s="52" t="s">
        <v>241</v>
      </c>
      <c r="O285" s="53" t="s">
        <v>2171</v>
      </c>
      <c r="P285" s="53" t="s">
        <v>2000</v>
      </c>
      <c r="Q285" s="52">
        <v>839</v>
      </c>
      <c r="R285" s="52" t="s">
        <v>348</v>
      </c>
      <c r="S285" s="54">
        <v>1</v>
      </c>
      <c r="T285" s="54">
        <f t="shared" si="24"/>
        <v>105263.15789473683</v>
      </c>
      <c r="U285" s="54">
        <f t="shared" si="25"/>
        <v>107142.85714285713</v>
      </c>
      <c r="V285" s="54">
        <v>120000</v>
      </c>
      <c r="W285" s="52"/>
      <c r="X285" s="52">
        <v>2012</v>
      </c>
      <c r="Y285" s="52"/>
    </row>
    <row r="286" spans="2:25" s="55" customFormat="1" ht="51">
      <c r="B286" s="52" t="s">
        <v>1035</v>
      </c>
      <c r="C286" s="78" t="s">
        <v>246</v>
      </c>
      <c r="D286" s="66" t="s">
        <v>261</v>
      </c>
      <c r="E286" s="56" t="s">
        <v>115</v>
      </c>
      <c r="F286" s="53" t="s">
        <v>1539</v>
      </c>
      <c r="G286" s="53"/>
      <c r="H286" s="52" t="s">
        <v>243</v>
      </c>
      <c r="I286" s="52">
        <v>10</v>
      </c>
      <c r="J286" s="52">
        <v>590000000</v>
      </c>
      <c r="K286" s="56" t="s">
        <v>103</v>
      </c>
      <c r="L286" s="52" t="s">
        <v>1503</v>
      </c>
      <c r="M286" s="56" t="s">
        <v>103</v>
      </c>
      <c r="N286" s="52" t="s">
        <v>241</v>
      </c>
      <c r="O286" s="52" t="s">
        <v>343</v>
      </c>
      <c r="P286" s="53" t="s">
        <v>2000</v>
      </c>
      <c r="Q286" s="52">
        <v>839</v>
      </c>
      <c r="R286" s="52" t="s">
        <v>348</v>
      </c>
      <c r="S286" s="54">
        <v>1</v>
      </c>
      <c r="T286" s="54">
        <f t="shared" si="24"/>
        <v>0</v>
      </c>
      <c r="U286" s="54">
        <f t="shared" si="25"/>
        <v>0</v>
      </c>
      <c r="V286" s="54">
        <v>0</v>
      </c>
      <c r="W286" s="52"/>
      <c r="X286" s="52">
        <v>2012</v>
      </c>
      <c r="Y286" s="52">
        <v>11.14</v>
      </c>
    </row>
    <row r="287" spans="2:25" s="55" customFormat="1" ht="51">
      <c r="B287" s="52" t="s">
        <v>2632</v>
      </c>
      <c r="C287" s="78" t="s">
        <v>246</v>
      </c>
      <c r="D287" s="66" t="s">
        <v>261</v>
      </c>
      <c r="E287" s="56" t="s">
        <v>115</v>
      </c>
      <c r="F287" s="53" t="s">
        <v>1539</v>
      </c>
      <c r="G287" s="53"/>
      <c r="H287" s="52" t="s">
        <v>243</v>
      </c>
      <c r="I287" s="52">
        <v>10</v>
      </c>
      <c r="J287" s="52">
        <v>590000000</v>
      </c>
      <c r="K287" s="56" t="s">
        <v>103</v>
      </c>
      <c r="L287" s="52" t="s">
        <v>1759</v>
      </c>
      <c r="M287" s="56" t="s">
        <v>103</v>
      </c>
      <c r="N287" s="52" t="s">
        <v>241</v>
      </c>
      <c r="O287" s="52" t="s">
        <v>1759</v>
      </c>
      <c r="P287" s="53" t="s">
        <v>2000</v>
      </c>
      <c r="Q287" s="52">
        <v>839</v>
      </c>
      <c r="R287" s="52" t="s">
        <v>348</v>
      </c>
      <c r="S287" s="54">
        <v>1</v>
      </c>
      <c r="T287" s="54">
        <f t="shared" si="24"/>
        <v>105263.15789473683</v>
      </c>
      <c r="U287" s="54">
        <f t="shared" si="25"/>
        <v>107142.85714285713</v>
      </c>
      <c r="V287" s="54">
        <v>120000</v>
      </c>
      <c r="W287" s="52"/>
      <c r="X287" s="52">
        <v>2012</v>
      </c>
      <c r="Y287" s="52"/>
    </row>
    <row r="288" spans="2:25" s="55" customFormat="1" ht="51">
      <c r="B288" s="52" t="s">
        <v>1036</v>
      </c>
      <c r="C288" s="78" t="s">
        <v>246</v>
      </c>
      <c r="D288" s="66" t="s">
        <v>261</v>
      </c>
      <c r="E288" s="56" t="s">
        <v>115</v>
      </c>
      <c r="F288" s="53" t="s">
        <v>1539</v>
      </c>
      <c r="G288" s="53"/>
      <c r="H288" s="52" t="s">
        <v>243</v>
      </c>
      <c r="I288" s="52">
        <v>10</v>
      </c>
      <c r="J288" s="52">
        <v>510000000</v>
      </c>
      <c r="K288" s="63" t="s">
        <v>104</v>
      </c>
      <c r="L288" s="52" t="s">
        <v>1503</v>
      </c>
      <c r="M288" s="63" t="s">
        <v>104</v>
      </c>
      <c r="N288" s="52" t="s">
        <v>241</v>
      </c>
      <c r="O288" s="52" t="s">
        <v>343</v>
      </c>
      <c r="P288" s="53" t="s">
        <v>2000</v>
      </c>
      <c r="Q288" s="52">
        <v>839</v>
      </c>
      <c r="R288" s="52" t="s">
        <v>348</v>
      </c>
      <c r="S288" s="54">
        <v>1</v>
      </c>
      <c r="T288" s="54">
        <f t="shared" si="24"/>
        <v>105263.15789473683</v>
      </c>
      <c r="U288" s="54">
        <f t="shared" si="25"/>
        <v>107142.85714285713</v>
      </c>
      <c r="V288" s="54">
        <v>120000</v>
      </c>
      <c r="W288" s="52"/>
      <c r="X288" s="52">
        <v>2012</v>
      </c>
      <c r="Y288" s="52"/>
    </row>
    <row r="289" spans="2:25" s="55" customFormat="1" ht="51" outlineLevel="1">
      <c r="B289" s="52" t="s">
        <v>1037</v>
      </c>
      <c r="C289" s="78" t="s">
        <v>246</v>
      </c>
      <c r="D289" s="57" t="s">
        <v>252</v>
      </c>
      <c r="E289" s="56" t="s">
        <v>2458</v>
      </c>
      <c r="F289" s="56" t="s">
        <v>2459</v>
      </c>
      <c r="G289" s="56"/>
      <c r="H289" s="52" t="s">
        <v>243</v>
      </c>
      <c r="I289" s="52">
        <v>100</v>
      </c>
      <c r="J289" s="52">
        <v>751000000</v>
      </c>
      <c r="K289" s="53" t="s">
        <v>2290</v>
      </c>
      <c r="L289" s="52" t="s">
        <v>1503</v>
      </c>
      <c r="M289" s="53" t="s">
        <v>2290</v>
      </c>
      <c r="N289" s="52" t="s">
        <v>241</v>
      </c>
      <c r="O289" s="53" t="s">
        <v>2460</v>
      </c>
      <c r="P289" s="53" t="s">
        <v>1537</v>
      </c>
      <c r="Q289" s="52">
        <v>112</v>
      </c>
      <c r="R289" s="52" t="s">
        <v>1433</v>
      </c>
      <c r="S289" s="54">
        <f>U289/T289</f>
        <v>10987.2</v>
      </c>
      <c r="T289" s="54">
        <v>100</v>
      </c>
      <c r="U289" s="54">
        <f t="shared" ref="U289:U290" si="26">V289/112*100</f>
        <v>1098720</v>
      </c>
      <c r="V289" s="54">
        <f>[1]ГСМ!$T$11+[1]ГСМ!$T$12</f>
        <v>1230566.3999999999</v>
      </c>
      <c r="W289" s="52"/>
      <c r="X289" s="52">
        <v>2012</v>
      </c>
      <c r="Y289" s="52"/>
    </row>
    <row r="290" spans="2:25" s="55" customFormat="1" ht="51" outlineLevel="1">
      <c r="B290" s="52" t="s">
        <v>1038</v>
      </c>
      <c r="C290" s="78" t="s">
        <v>246</v>
      </c>
      <c r="D290" s="57" t="s">
        <v>253</v>
      </c>
      <c r="E290" s="56" t="s">
        <v>116</v>
      </c>
      <c r="F290" s="53" t="s">
        <v>1540</v>
      </c>
      <c r="G290" s="53"/>
      <c r="H290" s="52" t="s">
        <v>243</v>
      </c>
      <c r="I290" s="52">
        <v>100</v>
      </c>
      <c r="J290" s="52">
        <v>751000000</v>
      </c>
      <c r="K290" s="53" t="s">
        <v>2290</v>
      </c>
      <c r="L290" s="52" t="s">
        <v>1503</v>
      </c>
      <c r="M290" s="53" t="s">
        <v>2290</v>
      </c>
      <c r="N290" s="52" t="s">
        <v>241</v>
      </c>
      <c r="O290" s="53" t="s">
        <v>2460</v>
      </c>
      <c r="P290" s="53" t="s">
        <v>1537</v>
      </c>
      <c r="Q290" s="52">
        <v>112</v>
      </c>
      <c r="R290" s="52" t="s">
        <v>1433</v>
      </c>
      <c r="S290" s="130">
        <f>U290/T290</f>
        <v>11023.827292110873</v>
      </c>
      <c r="T290" s="54">
        <v>134</v>
      </c>
      <c r="U290" s="54">
        <f t="shared" si="26"/>
        <v>1477192.857142857</v>
      </c>
      <c r="V290" s="54">
        <v>1654456</v>
      </c>
      <c r="W290" s="131"/>
      <c r="X290" s="52">
        <v>2012</v>
      </c>
      <c r="Y290" s="52"/>
    </row>
    <row r="291" spans="2:25" s="55" customFormat="1" ht="51" outlineLevel="1">
      <c r="B291" s="52" t="s">
        <v>1039</v>
      </c>
      <c r="C291" s="78" t="s">
        <v>246</v>
      </c>
      <c r="D291" s="57" t="s">
        <v>253</v>
      </c>
      <c r="E291" s="56" t="s">
        <v>116</v>
      </c>
      <c r="F291" s="53" t="s">
        <v>1542</v>
      </c>
      <c r="G291" s="53"/>
      <c r="H291" s="52" t="s">
        <v>243</v>
      </c>
      <c r="I291" s="52">
        <v>100</v>
      </c>
      <c r="J291" s="52">
        <v>751000000</v>
      </c>
      <c r="K291" s="63" t="s">
        <v>1437</v>
      </c>
      <c r="L291" s="52" t="s">
        <v>1503</v>
      </c>
      <c r="M291" s="63" t="s">
        <v>1437</v>
      </c>
      <c r="N291" s="52" t="s">
        <v>241</v>
      </c>
      <c r="O291" s="53" t="s">
        <v>1978</v>
      </c>
      <c r="P291" s="53" t="s">
        <v>1537</v>
      </c>
      <c r="Q291" s="52">
        <v>112</v>
      </c>
      <c r="R291" s="52" t="s">
        <v>1433</v>
      </c>
      <c r="S291" s="130">
        <f>V291/100</f>
        <v>7877.0664000000015</v>
      </c>
      <c r="T291" s="54">
        <f>V291/S291</f>
        <v>100</v>
      </c>
      <c r="U291" s="54">
        <f t="shared" si="25"/>
        <v>703309.50000000012</v>
      </c>
      <c r="V291" s="54">
        <v>787706.64000000013</v>
      </c>
      <c r="W291" s="52"/>
      <c r="X291" s="52">
        <v>2012</v>
      </c>
      <c r="Y291" s="52"/>
    </row>
    <row r="292" spans="2:25" s="55" customFormat="1" ht="51" outlineLevel="1">
      <c r="B292" s="52" t="s">
        <v>1040</v>
      </c>
      <c r="C292" s="78" t="s">
        <v>246</v>
      </c>
      <c r="D292" s="57" t="s">
        <v>253</v>
      </c>
      <c r="E292" s="56" t="s">
        <v>116</v>
      </c>
      <c r="F292" s="53" t="s">
        <v>1542</v>
      </c>
      <c r="G292" s="53"/>
      <c r="H292" s="52" t="s">
        <v>243</v>
      </c>
      <c r="I292" s="52">
        <v>100</v>
      </c>
      <c r="J292" s="52">
        <v>711000000</v>
      </c>
      <c r="K292" s="53" t="s">
        <v>1622</v>
      </c>
      <c r="L292" s="52" t="s">
        <v>1503</v>
      </c>
      <c r="M292" s="53" t="s">
        <v>1816</v>
      </c>
      <c r="N292" s="52" t="s">
        <v>241</v>
      </c>
      <c r="O292" s="53" t="s">
        <v>1978</v>
      </c>
      <c r="P292" s="53" t="s">
        <v>1537</v>
      </c>
      <c r="Q292" s="52">
        <v>112</v>
      </c>
      <c r="R292" s="52" t="s">
        <v>1433</v>
      </c>
      <c r="S292" s="130">
        <f t="shared" ref="S292:S306" si="27">V292/100</f>
        <v>16703.05</v>
      </c>
      <c r="T292" s="54">
        <f t="shared" ref="T292:T306" si="28">V292/S292</f>
        <v>100</v>
      </c>
      <c r="U292" s="54">
        <f t="shared" si="25"/>
        <v>1491343.75</v>
      </c>
      <c r="V292" s="54">
        <v>1670305</v>
      </c>
      <c r="W292" s="52"/>
      <c r="X292" s="52">
        <v>2012</v>
      </c>
      <c r="Y292" s="52"/>
    </row>
    <row r="293" spans="2:25" s="55" customFormat="1" ht="51" outlineLevel="1">
      <c r="B293" s="52" t="s">
        <v>1041</v>
      </c>
      <c r="C293" s="78" t="s">
        <v>246</v>
      </c>
      <c r="D293" s="57" t="s">
        <v>253</v>
      </c>
      <c r="E293" s="56" t="s">
        <v>116</v>
      </c>
      <c r="F293" s="53" t="s">
        <v>1542</v>
      </c>
      <c r="G293" s="53"/>
      <c r="H293" s="52" t="s">
        <v>243</v>
      </c>
      <c r="I293" s="52">
        <v>100</v>
      </c>
      <c r="J293" s="52">
        <v>190000000</v>
      </c>
      <c r="K293" s="56" t="s">
        <v>117</v>
      </c>
      <c r="L293" s="52" t="s">
        <v>1503</v>
      </c>
      <c r="M293" s="56" t="s">
        <v>117</v>
      </c>
      <c r="N293" s="52" t="s">
        <v>241</v>
      </c>
      <c r="O293" s="53" t="s">
        <v>1978</v>
      </c>
      <c r="P293" s="53" t="s">
        <v>1537</v>
      </c>
      <c r="Q293" s="52">
        <v>112</v>
      </c>
      <c r="R293" s="52" t="s">
        <v>1433</v>
      </c>
      <c r="S293" s="130">
        <f t="shared" si="27"/>
        <v>7770.0168000000012</v>
      </c>
      <c r="T293" s="54">
        <f t="shared" si="28"/>
        <v>100</v>
      </c>
      <c r="U293" s="54">
        <f t="shared" si="25"/>
        <v>693751.50000000012</v>
      </c>
      <c r="V293" s="54">
        <f>[2]ГСМ!$T$10</f>
        <v>777001.68000000017</v>
      </c>
      <c r="W293" s="52"/>
      <c r="X293" s="52">
        <v>2012</v>
      </c>
      <c r="Y293" s="52"/>
    </row>
    <row r="294" spans="2:25" s="55" customFormat="1" ht="51" outlineLevel="1">
      <c r="B294" s="52" t="s">
        <v>1042</v>
      </c>
      <c r="C294" s="78" t="s">
        <v>246</v>
      </c>
      <c r="D294" s="57" t="s">
        <v>253</v>
      </c>
      <c r="E294" s="56" t="s">
        <v>116</v>
      </c>
      <c r="F294" s="53" t="s">
        <v>1542</v>
      </c>
      <c r="G294" s="53"/>
      <c r="H294" s="52" t="s">
        <v>243</v>
      </c>
      <c r="I294" s="52">
        <v>100</v>
      </c>
      <c r="J294" s="52">
        <v>110000000</v>
      </c>
      <c r="K294" s="56" t="s">
        <v>125</v>
      </c>
      <c r="L294" s="52" t="s">
        <v>1503</v>
      </c>
      <c r="M294" s="56" t="s">
        <v>125</v>
      </c>
      <c r="N294" s="52" t="s">
        <v>241</v>
      </c>
      <c r="O294" s="53" t="s">
        <v>1978</v>
      </c>
      <c r="P294" s="53" t="s">
        <v>1537</v>
      </c>
      <c r="Q294" s="52">
        <v>112</v>
      </c>
      <c r="R294" s="52" t="s">
        <v>1433</v>
      </c>
      <c r="S294" s="130">
        <f t="shared" si="27"/>
        <v>7787.858400000001</v>
      </c>
      <c r="T294" s="54">
        <f t="shared" si="28"/>
        <v>100</v>
      </c>
      <c r="U294" s="54">
        <f t="shared" si="25"/>
        <v>695344.50000000012</v>
      </c>
      <c r="V294" s="54">
        <f>[2]ГСМ!$T$13</f>
        <v>778785.84000000008</v>
      </c>
      <c r="W294" s="52"/>
      <c r="X294" s="52">
        <v>2012</v>
      </c>
      <c r="Y294" s="52"/>
    </row>
    <row r="295" spans="2:25" s="55" customFormat="1" ht="51" outlineLevel="1">
      <c r="B295" s="52" t="s">
        <v>1043</v>
      </c>
      <c r="C295" s="78" t="s">
        <v>246</v>
      </c>
      <c r="D295" s="57" t="s">
        <v>253</v>
      </c>
      <c r="E295" s="56" t="s">
        <v>116</v>
      </c>
      <c r="F295" s="53" t="s">
        <v>1542</v>
      </c>
      <c r="G295" s="53"/>
      <c r="H295" s="52" t="s">
        <v>243</v>
      </c>
      <c r="I295" s="52">
        <v>100</v>
      </c>
      <c r="J295" s="52">
        <v>150000000</v>
      </c>
      <c r="K295" s="56" t="s">
        <v>126</v>
      </c>
      <c r="L295" s="52" t="s">
        <v>1503</v>
      </c>
      <c r="M295" s="56" t="s">
        <v>126</v>
      </c>
      <c r="N295" s="52" t="s">
        <v>241</v>
      </c>
      <c r="O295" s="53" t="s">
        <v>1978</v>
      </c>
      <c r="P295" s="53" t="s">
        <v>1537</v>
      </c>
      <c r="Q295" s="52">
        <v>112</v>
      </c>
      <c r="R295" s="52" t="s">
        <v>1433</v>
      </c>
      <c r="S295" s="130">
        <f t="shared" si="27"/>
        <v>7787.858400000001</v>
      </c>
      <c r="T295" s="54">
        <f t="shared" si="28"/>
        <v>100</v>
      </c>
      <c r="U295" s="54">
        <f t="shared" si="25"/>
        <v>695344.50000000012</v>
      </c>
      <c r="V295" s="54">
        <f>[2]ГСМ!$T$17</f>
        <v>778785.84000000008</v>
      </c>
      <c r="W295" s="52"/>
      <c r="X295" s="52">
        <v>2012</v>
      </c>
      <c r="Y295" s="52"/>
    </row>
    <row r="296" spans="2:25" s="55" customFormat="1" ht="51" outlineLevel="1">
      <c r="B296" s="52" t="s">
        <v>1044</v>
      </c>
      <c r="C296" s="78" t="s">
        <v>246</v>
      </c>
      <c r="D296" s="57" t="s">
        <v>253</v>
      </c>
      <c r="E296" s="56" t="s">
        <v>116</v>
      </c>
      <c r="F296" s="53" t="s">
        <v>1542</v>
      </c>
      <c r="G296" s="53"/>
      <c r="H296" s="52" t="s">
        <v>243</v>
      </c>
      <c r="I296" s="52">
        <v>100</v>
      </c>
      <c r="J296" s="52">
        <v>230000000</v>
      </c>
      <c r="K296" s="56" t="s">
        <v>118</v>
      </c>
      <c r="L296" s="52" t="s">
        <v>1503</v>
      </c>
      <c r="M296" s="56" t="s">
        <v>118</v>
      </c>
      <c r="N296" s="52" t="s">
        <v>241</v>
      </c>
      <c r="O296" s="53" t="s">
        <v>1978</v>
      </c>
      <c r="P296" s="53" t="s">
        <v>1537</v>
      </c>
      <c r="Q296" s="52">
        <v>112</v>
      </c>
      <c r="R296" s="52" t="s">
        <v>1433</v>
      </c>
      <c r="S296" s="130">
        <f t="shared" si="27"/>
        <v>7609.4423999999999</v>
      </c>
      <c r="T296" s="54">
        <f t="shared" si="28"/>
        <v>100</v>
      </c>
      <c r="U296" s="54">
        <f t="shared" si="25"/>
        <v>679414.5</v>
      </c>
      <c r="V296" s="54">
        <f>[2]ГСМ!$T$11</f>
        <v>760944.24</v>
      </c>
      <c r="W296" s="52"/>
      <c r="X296" s="52">
        <v>2012</v>
      </c>
      <c r="Y296" s="52"/>
    </row>
    <row r="297" spans="2:25" s="55" customFormat="1" ht="51" outlineLevel="1">
      <c r="B297" s="52" t="s">
        <v>1045</v>
      </c>
      <c r="C297" s="78" t="s">
        <v>246</v>
      </c>
      <c r="D297" s="57" t="s">
        <v>253</v>
      </c>
      <c r="E297" s="56" t="s">
        <v>116</v>
      </c>
      <c r="F297" s="53" t="s">
        <v>1542</v>
      </c>
      <c r="G297" s="53"/>
      <c r="H297" s="52" t="s">
        <v>243</v>
      </c>
      <c r="I297" s="52">
        <v>100</v>
      </c>
      <c r="J297" s="52">
        <v>630000000</v>
      </c>
      <c r="K297" s="56" t="s">
        <v>97</v>
      </c>
      <c r="L297" s="52" t="s">
        <v>1503</v>
      </c>
      <c r="M297" s="56" t="s">
        <v>97</v>
      </c>
      <c r="N297" s="52" t="s">
        <v>241</v>
      </c>
      <c r="O297" s="53" t="s">
        <v>1978</v>
      </c>
      <c r="P297" s="53" t="s">
        <v>1537</v>
      </c>
      <c r="Q297" s="52">
        <v>112</v>
      </c>
      <c r="R297" s="52" t="s">
        <v>1433</v>
      </c>
      <c r="S297" s="130">
        <f t="shared" si="27"/>
        <v>7948.4328000000014</v>
      </c>
      <c r="T297" s="54">
        <f t="shared" si="28"/>
        <v>100</v>
      </c>
      <c r="U297" s="54">
        <f t="shared" si="25"/>
        <v>709681.50000000012</v>
      </c>
      <c r="V297" s="54">
        <f>[2]ГСМ!$T$18</f>
        <v>794843.28000000014</v>
      </c>
      <c r="W297" s="52"/>
      <c r="X297" s="52">
        <v>2012</v>
      </c>
      <c r="Y297" s="52"/>
    </row>
    <row r="298" spans="2:25" s="55" customFormat="1" ht="51" outlineLevel="1">
      <c r="B298" s="52" t="s">
        <v>1046</v>
      </c>
      <c r="C298" s="78" t="s">
        <v>246</v>
      </c>
      <c r="D298" s="57" t="s">
        <v>253</v>
      </c>
      <c r="E298" s="56" t="s">
        <v>116</v>
      </c>
      <c r="F298" s="53" t="s">
        <v>1542</v>
      </c>
      <c r="G298" s="53"/>
      <c r="H298" s="52" t="s">
        <v>243</v>
      </c>
      <c r="I298" s="52">
        <v>100</v>
      </c>
      <c r="J298" s="52">
        <v>310000000</v>
      </c>
      <c r="K298" s="56" t="s">
        <v>119</v>
      </c>
      <c r="L298" s="52" t="s">
        <v>1503</v>
      </c>
      <c r="M298" s="56" t="s">
        <v>119</v>
      </c>
      <c r="N298" s="52" t="s">
        <v>241</v>
      </c>
      <c r="O298" s="53" t="s">
        <v>1978</v>
      </c>
      <c r="P298" s="53" t="s">
        <v>1537</v>
      </c>
      <c r="Q298" s="52">
        <v>112</v>
      </c>
      <c r="R298" s="52" t="s">
        <v>1433</v>
      </c>
      <c r="S298" s="130">
        <f t="shared" si="27"/>
        <v>7497.93</v>
      </c>
      <c r="T298" s="54">
        <f t="shared" si="28"/>
        <v>100</v>
      </c>
      <c r="U298" s="54">
        <f t="shared" si="25"/>
        <v>669458.03571428568</v>
      </c>
      <c r="V298" s="54">
        <v>749793</v>
      </c>
      <c r="W298" s="52"/>
      <c r="X298" s="52">
        <v>2012</v>
      </c>
      <c r="Y298" s="52"/>
    </row>
    <row r="299" spans="2:25" s="55" customFormat="1" ht="51" outlineLevel="1">
      <c r="B299" s="52" t="s">
        <v>1047</v>
      </c>
      <c r="C299" s="78" t="s">
        <v>246</v>
      </c>
      <c r="D299" s="57" t="s">
        <v>253</v>
      </c>
      <c r="E299" s="56" t="s">
        <v>116</v>
      </c>
      <c r="F299" s="53" t="s">
        <v>1542</v>
      </c>
      <c r="G299" s="53"/>
      <c r="H299" s="52" t="s">
        <v>243</v>
      </c>
      <c r="I299" s="52">
        <v>100</v>
      </c>
      <c r="J299" s="52">
        <v>270000000</v>
      </c>
      <c r="K299" s="56" t="s">
        <v>98</v>
      </c>
      <c r="L299" s="52" t="s">
        <v>1503</v>
      </c>
      <c r="M299" s="56" t="s">
        <v>98</v>
      </c>
      <c r="N299" s="52" t="s">
        <v>241</v>
      </c>
      <c r="O299" s="53" t="s">
        <v>1978</v>
      </c>
      <c r="P299" s="53" t="s">
        <v>1537</v>
      </c>
      <c r="Q299" s="52">
        <v>112</v>
      </c>
      <c r="R299" s="52" t="s">
        <v>1433</v>
      </c>
      <c r="S299" s="130">
        <f t="shared" si="27"/>
        <v>7787.858400000001</v>
      </c>
      <c r="T299" s="54">
        <f t="shared" si="28"/>
        <v>100</v>
      </c>
      <c r="U299" s="54">
        <f t="shared" si="25"/>
        <v>695344.50000000012</v>
      </c>
      <c r="V299" s="54">
        <f>[2]ГСМ!$T$20</f>
        <v>778785.84000000008</v>
      </c>
      <c r="W299" s="52"/>
      <c r="X299" s="52">
        <v>2012</v>
      </c>
      <c r="Y299" s="52"/>
    </row>
    <row r="300" spans="2:25" s="55" customFormat="1" ht="51" outlineLevel="1">
      <c r="B300" s="52" t="s">
        <v>1048</v>
      </c>
      <c r="C300" s="78" t="s">
        <v>246</v>
      </c>
      <c r="D300" s="57" t="s">
        <v>253</v>
      </c>
      <c r="E300" s="56" t="s">
        <v>116</v>
      </c>
      <c r="F300" s="53" t="s">
        <v>1542</v>
      </c>
      <c r="G300" s="53"/>
      <c r="H300" s="52" t="s">
        <v>243</v>
      </c>
      <c r="I300" s="52">
        <v>100</v>
      </c>
      <c r="J300" s="52">
        <v>350000000</v>
      </c>
      <c r="K300" s="56" t="s">
        <v>120</v>
      </c>
      <c r="L300" s="52" t="s">
        <v>1503</v>
      </c>
      <c r="M300" s="56" t="s">
        <v>120</v>
      </c>
      <c r="N300" s="52" t="s">
        <v>241</v>
      </c>
      <c r="O300" s="53" t="s">
        <v>1978</v>
      </c>
      <c r="P300" s="53" t="s">
        <v>1537</v>
      </c>
      <c r="Q300" s="52">
        <v>112</v>
      </c>
      <c r="R300" s="52" t="s">
        <v>1433</v>
      </c>
      <c r="S300" s="130">
        <f t="shared" si="27"/>
        <v>7787.858400000001</v>
      </c>
      <c r="T300" s="54">
        <f t="shared" si="28"/>
        <v>100</v>
      </c>
      <c r="U300" s="54">
        <f t="shared" si="25"/>
        <v>695344.50000000012</v>
      </c>
      <c r="V300" s="54">
        <f>[2]ГСМ!$T$19</f>
        <v>778785.84000000008</v>
      </c>
      <c r="W300" s="52"/>
      <c r="X300" s="52">
        <v>2012</v>
      </c>
      <c r="Y300" s="52"/>
    </row>
    <row r="301" spans="2:25" s="55" customFormat="1" ht="51" outlineLevel="1">
      <c r="B301" s="52" t="s">
        <v>1049</v>
      </c>
      <c r="C301" s="78" t="s">
        <v>246</v>
      </c>
      <c r="D301" s="57" t="s">
        <v>253</v>
      </c>
      <c r="E301" s="56" t="s">
        <v>116</v>
      </c>
      <c r="F301" s="53" t="s">
        <v>1542</v>
      </c>
      <c r="G301" s="53"/>
      <c r="H301" s="52" t="s">
        <v>243</v>
      </c>
      <c r="I301" s="52">
        <v>100</v>
      </c>
      <c r="J301" s="52">
        <v>390000000</v>
      </c>
      <c r="K301" s="56" t="s">
        <v>121</v>
      </c>
      <c r="L301" s="52" t="s">
        <v>1503</v>
      </c>
      <c r="M301" s="56" t="s">
        <v>121</v>
      </c>
      <c r="N301" s="52" t="s">
        <v>241</v>
      </c>
      <c r="O301" s="53" t="s">
        <v>1978</v>
      </c>
      <c r="P301" s="53" t="s">
        <v>1537</v>
      </c>
      <c r="Q301" s="52">
        <v>112</v>
      </c>
      <c r="R301" s="52" t="s">
        <v>1433</v>
      </c>
      <c r="S301" s="130">
        <f t="shared" si="27"/>
        <v>7787.858400000001</v>
      </c>
      <c r="T301" s="54">
        <f t="shared" si="28"/>
        <v>100</v>
      </c>
      <c r="U301" s="54">
        <f t="shared" si="25"/>
        <v>695344.50000000012</v>
      </c>
      <c r="V301" s="54">
        <f>[2]ГСМ!$T$14</f>
        <v>778785.84000000008</v>
      </c>
      <c r="W301" s="52"/>
      <c r="X301" s="52">
        <v>2012</v>
      </c>
      <c r="Y301" s="52"/>
    </row>
    <row r="302" spans="2:25" s="55" customFormat="1" ht="51" outlineLevel="1">
      <c r="B302" s="52" t="s">
        <v>1050</v>
      </c>
      <c r="C302" s="78" t="s">
        <v>246</v>
      </c>
      <c r="D302" s="57" t="s">
        <v>253</v>
      </c>
      <c r="E302" s="56" t="s">
        <v>116</v>
      </c>
      <c r="F302" s="53" t="s">
        <v>1542</v>
      </c>
      <c r="G302" s="53"/>
      <c r="H302" s="52" t="s">
        <v>243</v>
      </c>
      <c r="I302" s="52">
        <v>100</v>
      </c>
      <c r="J302" s="52">
        <v>430000000</v>
      </c>
      <c r="K302" s="56" t="s">
        <v>122</v>
      </c>
      <c r="L302" s="52" t="s">
        <v>1503</v>
      </c>
      <c r="M302" s="56" t="s">
        <v>122</v>
      </c>
      <c r="N302" s="52" t="s">
        <v>241</v>
      </c>
      <c r="O302" s="53" t="s">
        <v>1978</v>
      </c>
      <c r="P302" s="53" t="s">
        <v>1537</v>
      </c>
      <c r="Q302" s="52">
        <v>112</v>
      </c>
      <c r="R302" s="52" t="s">
        <v>1433</v>
      </c>
      <c r="S302" s="130">
        <f t="shared" si="27"/>
        <v>7609.4423999999999</v>
      </c>
      <c r="T302" s="54">
        <f t="shared" si="28"/>
        <v>100</v>
      </c>
      <c r="U302" s="54">
        <f t="shared" si="25"/>
        <v>679414.5</v>
      </c>
      <c r="V302" s="54">
        <f>[2]ГСМ!$T$12</f>
        <v>760944.24</v>
      </c>
      <c r="W302" s="52"/>
      <c r="X302" s="52">
        <v>2012</v>
      </c>
      <c r="Y302" s="52"/>
    </row>
    <row r="303" spans="2:25" s="55" customFormat="1" ht="51" outlineLevel="1">
      <c r="B303" s="52" t="s">
        <v>1051</v>
      </c>
      <c r="C303" s="78" t="s">
        <v>246</v>
      </c>
      <c r="D303" s="57" t="s">
        <v>253</v>
      </c>
      <c r="E303" s="56" t="s">
        <v>116</v>
      </c>
      <c r="F303" s="53" t="s">
        <v>1542</v>
      </c>
      <c r="G303" s="53"/>
      <c r="H303" s="52" t="s">
        <v>243</v>
      </c>
      <c r="I303" s="52">
        <v>100</v>
      </c>
      <c r="J303" s="52">
        <v>470000000</v>
      </c>
      <c r="K303" s="56" t="s">
        <v>123</v>
      </c>
      <c r="L303" s="52" t="s">
        <v>1503</v>
      </c>
      <c r="M303" s="56" t="s">
        <v>123</v>
      </c>
      <c r="N303" s="52" t="s">
        <v>241</v>
      </c>
      <c r="O303" s="53" t="s">
        <v>1978</v>
      </c>
      <c r="P303" s="53" t="s">
        <v>1537</v>
      </c>
      <c r="Q303" s="52">
        <v>112</v>
      </c>
      <c r="R303" s="52" t="s">
        <v>1433</v>
      </c>
      <c r="S303" s="130">
        <f t="shared" si="27"/>
        <v>7497.9323999999997</v>
      </c>
      <c r="T303" s="54">
        <f t="shared" si="28"/>
        <v>100</v>
      </c>
      <c r="U303" s="54">
        <f t="shared" si="25"/>
        <v>669458.25</v>
      </c>
      <c r="V303" s="54">
        <f>[2]ГСМ!$T$7</f>
        <v>749793.24</v>
      </c>
      <c r="W303" s="52"/>
      <c r="X303" s="52">
        <v>2012</v>
      </c>
      <c r="Y303" s="52"/>
    </row>
    <row r="304" spans="2:25" s="55" customFormat="1" ht="51" outlineLevel="1">
      <c r="B304" s="52" t="s">
        <v>1052</v>
      </c>
      <c r="C304" s="78" t="s">
        <v>246</v>
      </c>
      <c r="D304" s="57" t="s">
        <v>253</v>
      </c>
      <c r="E304" s="56" t="s">
        <v>116</v>
      </c>
      <c r="F304" s="53" t="s">
        <v>1542</v>
      </c>
      <c r="G304" s="53"/>
      <c r="H304" s="52" t="s">
        <v>243</v>
      </c>
      <c r="I304" s="52">
        <v>100</v>
      </c>
      <c r="J304" s="52">
        <v>550000000</v>
      </c>
      <c r="K304" s="56" t="s">
        <v>124</v>
      </c>
      <c r="L304" s="53" t="s">
        <v>1819</v>
      </c>
      <c r="M304" s="56" t="s">
        <v>124</v>
      </c>
      <c r="N304" s="52" t="s">
        <v>241</v>
      </c>
      <c r="O304" s="53" t="s">
        <v>1978</v>
      </c>
      <c r="P304" s="53" t="s">
        <v>1537</v>
      </c>
      <c r="Q304" s="52">
        <v>112</v>
      </c>
      <c r="R304" s="52" t="s">
        <v>1433</v>
      </c>
      <c r="S304" s="130">
        <f t="shared" si="27"/>
        <v>7787.858400000001</v>
      </c>
      <c r="T304" s="54">
        <f t="shared" si="28"/>
        <v>100</v>
      </c>
      <c r="U304" s="54">
        <f t="shared" si="25"/>
        <v>695344.50000000012</v>
      </c>
      <c r="V304" s="54">
        <f>[2]ГСМ!$T$15</f>
        <v>778785.84000000008</v>
      </c>
      <c r="W304" s="52"/>
      <c r="X304" s="52">
        <v>2012</v>
      </c>
      <c r="Y304" s="52"/>
    </row>
    <row r="305" spans="2:26" s="55" customFormat="1" ht="51" outlineLevel="1">
      <c r="B305" s="52" t="s">
        <v>1053</v>
      </c>
      <c r="C305" s="78" t="s">
        <v>246</v>
      </c>
      <c r="D305" s="57" t="s">
        <v>253</v>
      </c>
      <c r="E305" s="56" t="s">
        <v>116</v>
      </c>
      <c r="F305" s="53" t="s">
        <v>1542</v>
      </c>
      <c r="G305" s="53"/>
      <c r="H305" s="52" t="s">
        <v>243</v>
      </c>
      <c r="I305" s="52">
        <v>100</v>
      </c>
      <c r="J305" s="52">
        <v>590000000</v>
      </c>
      <c r="K305" s="56" t="s">
        <v>103</v>
      </c>
      <c r="L305" s="52" t="s">
        <v>1503</v>
      </c>
      <c r="M305" s="56" t="s">
        <v>103</v>
      </c>
      <c r="N305" s="52" t="s">
        <v>241</v>
      </c>
      <c r="O305" s="53" t="s">
        <v>1978</v>
      </c>
      <c r="P305" s="53" t="s">
        <v>1537</v>
      </c>
      <c r="Q305" s="52">
        <v>112</v>
      </c>
      <c r="R305" s="52" t="s">
        <v>1433</v>
      </c>
      <c r="S305" s="130">
        <f t="shared" si="27"/>
        <v>7787.858400000001</v>
      </c>
      <c r="T305" s="54">
        <f t="shared" si="28"/>
        <v>100</v>
      </c>
      <c r="U305" s="54">
        <f t="shared" si="25"/>
        <v>695344.50000000012</v>
      </c>
      <c r="V305" s="54">
        <f>[2]ГСМ!$T$16</f>
        <v>778785.84000000008</v>
      </c>
      <c r="W305" s="52"/>
      <c r="X305" s="52">
        <v>2012</v>
      </c>
      <c r="Y305" s="52"/>
    </row>
    <row r="306" spans="2:26" s="55" customFormat="1" ht="51" outlineLevel="1">
      <c r="B306" s="52" t="s">
        <v>1054</v>
      </c>
      <c r="C306" s="78" t="s">
        <v>246</v>
      </c>
      <c r="D306" s="57" t="s">
        <v>253</v>
      </c>
      <c r="E306" s="56" t="s">
        <v>116</v>
      </c>
      <c r="F306" s="53" t="s">
        <v>1542</v>
      </c>
      <c r="G306" s="53"/>
      <c r="H306" s="52" t="s">
        <v>243</v>
      </c>
      <c r="I306" s="52">
        <v>100</v>
      </c>
      <c r="J306" s="52">
        <v>510000000</v>
      </c>
      <c r="K306" s="56" t="s">
        <v>104</v>
      </c>
      <c r="L306" s="52" t="s">
        <v>1503</v>
      </c>
      <c r="M306" s="56" t="s">
        <v>104</v>
      </c>
      <c r="N306" s="52" t="s">
        <v>241</v>
      </c>
      <c r="O306" s="53" t="s">
        <v>1978</v>
      </c>
      <c r="P306" s="53" t="s">
        <v>1537</v>
      </c>
      <c r="Q306" s="52">
        <v>112</v>
      </c>
      <c r="R306" s="52" t="s">
        <v>1433</v>
      </c>
      <c r="S306" s="130">
        <f t="shared" si="27"/>
        <v>7497.9323999999997</v>
      </c>
      <c r="T306" s="54">
        <f t="shared" si="28"/>
        <v>100</v>
      </c>
      <c r="U306" s="54">
        <f t="shared" si="25"/>
        <v>669458.25</v>
      </c>
      <c r="V306" s="54">
        <f>[2]ГСМ!$T$8</f>
        <v>749793.24</v>
      </c>
      <c r="W306" s="52"/>
      <c r="X306" s="52">
        <v>2012</v>
      </c>
      <c r="Y306" s="52"/>
    </row>
    <row r="307" spans="2:26" s="125" customFormat="1" ht="165.75">
      <c r="B307" s="52" t="s">
        <v>1055</v>
      </c>
      <c r="C307" s="78" t="s">
        <v>246</v>
      </c>
      <c r="D307" s="77">
        <v>27015</v>
      </c>
      <c r="E307" s="56" t="s">
        <v>2325</v>
      </c>
      <c r="F307" s="56" t="s">
        <v>2324</v>
      </c>
      <c r="G307" s="56"/>
      <c r="H307" s="52" t="s">
        <v>243</v>
      </c>
      <c r="I307" s="52">
        <v>10</v>
      </c>
      <c r="J307" s="52">
        <v>751000000</v>
      </c>
      <c r="K307" s="53" t="s">
        <v>2290</v>
      </c>
      <c r="L307" s="52" t="s">
        <v>1503</v>
      </c>
      <c r="M307" s="53" t="s">
        <v>2290</v>
      </c>
      <c r="N307" s="52" t="s">
        <v>241</v>
      </c>
      <c r="O307" s="53" t="s">
        <v>2460</v>
      </c>
      <c r="P307" s="53" t="s">
        <v>1538</v>
      </c>
      <c r="Q307" s="52">
        <v>5111</v>
      </c>
      <c r="R307" s="52" t="s">
        <v>1434</v>
      </c>
      <c r="S307" s="130">
        <v>2502</v>
      </c>
      <c r="T307" s="54">
        <f>V307/114*100/S307</f>
        <v>570.17543859649118</v>
      </c>
      <c r="U307" s="54">
        <f t="shared" ref="U307:U345" si="29">V307/112*100</f>
        <v>1452053.5714285714</v>
      </c>
      <c r="V307" s="54">
        <v>1626300</v>
      </c>
      <c r="W307" s="52"/>
      <c r="X307" s="52">
        <v>2012</v>
      </c>
      <c r="Y307" s="52"/>
      <c r="Z307" s="184"/>
    </row>
    <row r="308" spans="2:26" s="55" customFormat="1" ht="114.75" outlineLevel="1">
      <c r="B308" s="52" t="s">
        <v>1056</v>
      </c>
      <c r="C308" s="78" t="s">
        <v>246</v>
      </c>
      <c r="D308" s="128" t="s">
        <v>265</v>
      </c>
      <c r="E308" s="56" t="s">
        <v>127</v>
      </c>
      <c r="F308" s="56" t="s">
        <v>2262</v>
      </c>
      <c r="G308" s="56"/>
      <c r="H308" s="52" t="s">
        <v>243</v>
      </c>
      <c r="I308" s="52">
        <v>10</v>
      </c>
      <c r="J308" s="52">
        <v>751000000</v>
      </c>
      <c r="K308" s="53" t="s">
        <v>2290</v>
      </c>
      <c r="L308" s="52" t="s">
        <v>1503</v>
      </c>
      <c r="M308" s="53" t="s">
        <v>2290</v>
      </c>
      <c r="N308" s="52" t="s">
        <v>241</v>
      </c>
      <c r="O308" s="53" t="s">
        <v>2460</v>
      </c>
      <c r="P308" s="53" t="s">
        <v>1538</v>
      </c>
      <c r="Q308" s="52">
        <v>796</v>
      </c>
      <c r="R308" s="52" t="s">
        <v>1818</v>
      </c>
      <c r="S308" s="54">
        <v>139</v>
      </c>
      <c r="T308" s="54">
        <f t="shared" ref="T308:T345" si="30">V308/114*100/S308</f>
        <v>521.92982456140351</v>
      </c>
      <c r="U308" s="54">
        <f t="shared" si="29"/>
        <v>73843.75</v>
      </c>
      <c r="V308" s="54">
        <v>82705</v>
      </c>
      <c r="W308" s="52"/>
      <c r="X308" s="52">
        <v>2012</v>
      </c>
      <c r="Y308" s="52"/>
    </row>
    <row r="309" spans="2:26" s="55" customFormat="1" ht="114.75" outlineLevel="1">
      <c r="B309" s="52" t="s">
        <v>1057</v>
      </c>
      <c r="C309" s="78" t="s">
        <v>246</v>
      </c>
      <c r="D309" s="128" t="s">
        <v>265</v>
      </c>
      <c r="E309" s="56" t="s">
        <v>2001</v>
      </c>
      <c r="F309" s="56" t="s">
        <v>2461</v>
      </c>
      <c r="G309" s="56"/>
      <c r="H309" s="52" t="s">
        <v>243</v>
      </c>
      <c r="I309" s="52">
        <v>10</v>
      </c>
      <c r="J309" s="52">
        <v>751000000</v>
      </c>
      <c r="K309" s="53" t="s">
        <v>2290</v>
      </c>
      <c r="L309" s="52" t="s">
        <v>1503</v>
      </c>
      <c r="M309" s="53" t="s">
        <v>2290</v>
      </c>
      <c r="N309" s="52" t="s">
        <v>241</v>
      </c>
      <c r="O309" s="53" t="s">
        <v>2460</v>
      </c>
      <c r="P309" s="53" t="s">
        <v>1538</v>
      </c>
      <c r="Q309" s="52">
        <v>796</v>
      </c>
      <c r="R309" s="52" t="s">
        <v>1818</v>
      </c>
      <c r="S309" s="54">
        <v>139</v>
      </c>
      <c r="T309" s="54">
        <f t="shared" si="30"/>
        <v>47.368421052631575</v>
      </c>
      <c r="U309" s="54">
        <f t="shared" si="29"/>
        <v>6701.7857142857138</v>
      </c>
      <c r="V309" s="54">
        <v>7506</v>
      </c>
      <c r="W309" s="52"/>
      <c r="X309" s="52">
        <v>2012</v>
      </c>
      <c r="Y309" s="52"/>
    </row>
    <row r="310" spans="2:26" s="55" customFormat="1" ht="114.75" outlineLevel="1">
      <c r="B310" s="52" t="s">
        <v>1058</v>
      </c>
      <c r="C310" s="78" t="s">
        <v>246</v>
      </c>
      <c r="D310" s="128" t="s">
        <v>265</v>
      </c>
      <c r="E310" s="56" t="s">
        <v>1950</v>
      </c>
      <c r="F310" s="53" t="s">
        <v>2002</v>
      </c>
      <c r="G310" s="53"/>
      <c r="H310" s="52" t="s">
        <v>243</v>
      </c>
      <c r="I310" s="52">
        <v>10</v>
      </c>
      <c r="J310" s="52">
        <v>751000000</v>
      </c>
      <c r="K310" s="53" t="s">
        <v>2290</v>
      </c>
      <c r="L310" s="52" t="s">
        <v>1503</v>
      </c>
      <c r="M310" s="53" t="s">
        <v>2290</v>
      </c>
      <c r="N310" s="52" t="s">
        <v>241</v>
      </c>
      <c r="O310" s="53" t="s">
        <v>2460</v>
      </c>
      <c r="P310" s="53" t="s">
        <v>1538</v>
      </c>
      <c r="Q310" s="52">
        <v>796</v>
      </c>
      <c r="R310" s="52" t="s">
        <v>1818</v>
      </c>
      <c r="S310" s="54">
        <v>990</v>
      </c>
      <c r="T310" s="54">
        <f t="shared" si="30"/>
        <v>133.33333333333334</v>
      </c>
      <c r="U310" s="54">
        <f t="shared" si="29"/>
        <v>134357.14285714287</v>
      </c>
      <c r="V310" s="54">
        <v>150480</v>
      </c>
      <c r="W310" s="52"/>
      <c r="X310" s="52">
        <v>2012</v>
      </c>
      <c r="Y310" s="52"/>
    </row>
    <row r="311" spans="2:26" s="55" customFormat="1" ht="114.75" outlineLevel="1">
      <c r="B311" s="52" t="s">
        <v>1059</v>
      </c>
      <c r="C311" s="78" t="s">
        <v>246</v>
      </c>
      <c r="D311" s="128" t="s">
        <v>265</v>
      </c>
      <c r="E311" s="56" t="s">
        <v>1951</v>
      </c>
      <c r="F311" s="53" t="s">
        <v>2004</v>
      </c>
      <c r="G311" s="53"/>
      <c r="H311" s="52" t="s">
        <v>243</v>
      </c>
      <c r="I311" s="52">
        <v>10</v>
      </c>
      <c r="J311" s="52">
        <v>751000000</v>
      </c>
      <c r="K311" s="53" t="s">
        <v>2290</v>
      </c>
      <c r="L311" s="52" t="s">
        <v>1503</v>
      </c>
      <c r="M311" s="53" t="s">
        <v>2290</v>
      </c>
      <c r="N311" s="52" t="s">
        <v>241</v>
      </c>
      <c r="O311" s="53" t="s">
        <v>2460</v>
      </c>
      <c r="P311" s="53" t="s">
        <v>1538</v>
      </c>
      <c r="Q311" s="52">
        <v>796</v>
      </c>
      <c r="R311" s="52" t="s">
        <v>1818</v>
      </c>
      <c r="S311" s="54">
        <v>100</v>
      </c>
      <c r="T311" s="54">
        <f t="shared" si="30"/>
        <v>52.631578947368418</v>
      </c>
      <c r="U311" s="54">
        <f t="shared" si="29"/>
        <v>5357.1428571428569</v>
      </c>
      <c r="V311" s="54">
        <v>6000</v>
      </c>
      <c r="W311" s="52"/>
      <c r="X311" s="52">
        <v>2012</v>
      </c>
      <c r="Y311" s="52"/>
    </row>
    <row r="312" spans="2:26" s="55" customFormat="1" ht="114.75" outlineLevel="1">
      <c r="B312" s="52" t="s">
        <v>1060</v>
      </c>
      <c r="C312" s="78" t="s">
        <v>246</v>
      </c>
      <c r="D312" s="128" t="s">
        <v>265</v>
      </c>
      <c r="E312" s="56" t="s">
        <v>1952</v>
      </c>
      <c r="F312" s="53" t="s">
        <v>2005</v>
      </c>
      <c r="G312" s="53"/>
      <c r="H312" s="52" t="s">
        <v>243</v>
      </c>
      <c r="I312" s="52">
        <v>10</v>
      </c>
      <c r="J312" s="52">
        <v>751000000</v>
      </c>
      <c r="K312" s="53" t="s">
        <v>2290</v>
      </c>
      <c r="L312" s="52" t="s">
        <v>1503</v>
      </c>
      <c r="M312" s="53" t="s">
        <v>2290</v>
      </c>
      <c r="N312" s="52" t="s">
        <v>241</v>
      </c>
      <c r="O312" s="53" t="s">
        <v>2460</v>
      </c>
      <c r="P312" s="53" t="s">
        <v>1538</v>
      </c>
      <c r="Q312" s="52">
        <v>796</v>
      </c>
      <c r="R312" s="52" t="s">
        <v>1818</v>
      </c>
      <c r="S312" s="54">
        <v>290</v>
      </c>
      <c r="T312" s="54">
        <f t="shared" si="30"/>
        <v>228.94736842105266</v>
      </c>
      <c r="U312" s="54">
        <f t="shared" si="29"/>
        <v>67580.357142857145</v>
      </c>
      <c r="V312" s="54">
        <v>75690</v>
      </c>
      <c r="W312" s="52"/>
      <c r="X312" s="52">
        <v>2012</v>
      </c>
      <c r="Y312" s="52"/>
    </row>
    <row r="313" spans="2:26" s="55" customFormat="1" ht="114.75" outlineLevel="1">
      <c r="B313" s="52" t="s">
        <v>1646</v>
      </c>
      <c r="C313" s="78" t="s">
        <v>246</v>
      </c>
      <c r="D313" s="128" t="s">
        <v>265</v>
      </c>
      <c r="E313" s="56" t="s">
        <v>1953</v>
      </c>
      <c r="F313" s="53" t="s">
        <v>2003</v>
      </c>
      <c r="G313" s="53"/>
      <c r="H313" s="52" t="s">
        <v>243</v>
      </c>
      <c r="I313" s="52">
        <v>10</v>
      </c>
      <c r="J313" s="52">
        <v>751000000</v>
      </c>
      <c r="K313" s="53" t="s">
        <v>2290</v>
      </c>
      <c r="L313" s="52" t="s">
        <v>1503</v>
      </c>
      <c r="M313" s="53" t="s">
        <v>2290</v>
      </c>
      <c r="N313" s="52" t="s">
        <v>241</v>
      </c>
      <c r="O313" s="53" t="s">
        <v>2460</v>
      </c>
      <c r="P313" s="53" t="s">
        <v>1538</v>
      </c>
      <c r="Q313" s="52">
        <v>796</v>
      </c>
      <c r="R313" s="52" t="s">
        <v>1818</v>
      </c>
      <c r="S313" s="54">
        <v>10</v>
      </c>
      <c r="T313" s="54">
        <f t="shared" si="30"/>
        <v>1607.0175438596491</v>
      </c>
      <c r="U313" s="54">
        <f t="shared" si="29"/>
        <v>16357.142857142859</v>
      </c>
      <c r="V313" s="54">
        <v>18320</v>
      </c>
      <c r="W313" s="52"/>
      <c r="X313" s="52">
        <v>2012</v>
      </c>
      <c r="Y313" s="52"/>
    </row>
    <row r="314" spans="2:26" s="55" customFormat="1" ht="114.75" outlineLevel="1">
      <c r="B314" s="52" t="s">
        <v>1061</v>
      </c>
      <c r="C314" s="78" t="s">
        <v>246</v>
      </c>
      <c r="D314" s="128" t="s">
        <v>268</v>
      </c>
      <c r="E314" s="56" t="s">
        <v>2007</v>
      </c>
      <c r="F314" s="53" t="s">
        <v>2006</v>
      </c>
      <c r="G314" s="53"/>
      <c r="H314" s="52" t="s">
        <v>243</v>
      </c>
      <c r="I314" s="52">
        <v>10</v>
      </c>
      <c r="J314" s="52">
        <v>751000000</v>
      </c>
      <c r="K314" s="53" t="s">
        <v>2290</v>
      </c>
      <c r="L314" s="52" t="s">
        <v>1503</v>
      </c>
      <c r="M314" s="53" t="s">
        <v>2290</v>
      </c>
      <c r="N314" s="52" t="s">
        <v>241</v>
      </c>
      <c r="O314" s="53" t="s">
        <v>2460</v>
      </c>
      <c r="P314" s="53" t="s">
        <v>1538</v>
      </c>
      <c r="Q314" s="52">
        <v>796</v>
      </c>
      <c r="R314" s="52" t="s">
        <v>1818</v>
      </c>
      <c r="S314" s="54">
        <v>1000</v>
      </c>
      <c r="T314" s="54">
        <f t="shared" si="30"/>
        <v>302.63157894736844</v>
      </c>
      <c r="U314" s="54">
        <f t="shared" si="29"/>
        <v>308035.71428571426</v>
      </c>
      <c r="V314" s="54">
        <v>345000</v>
      </c>
      <c r="W314" s="52"/>
      <c r="X314" s="52">
        <v>2012</v>
      </c>
      <c r="Y314" s="52"/>
    </row>
    <row r="315" spans="2:26" s="55" customFormat="1" ht="114.75" outlineLevel="1">
      <c r="B315" s="52" t="s">
        <v>1062</v>
      </c>
      <c r="C315" s="78" t="s">
        <v>246</v>
      </c>
      <c r="D315" s="128" t="s">
        <v>268</v>
      </c>
      <c r="E315" s="56" t="s">
        <v>2009</v>
      </c>
      <c r="F315" s="53" t="s">
        <v>2008</v>
      </c>
      <c r="G315" s="53"/>
      <c r="H315" s="52" t="s">
        <v>243</v>
      </c>
      <c r="I315" s="52">
        <v>10</v>
      </c>
      <c r="J315" s="52">
        <v>751000000</v>
      </c>
      <c r="K315" s="53" t="s">
        <v>2290</v>
      </c>
      <c r="L315" s="52" t="s">
        <v>1503</v>
      </c>
      <c r="M315" s="53" t="s">
        <v>2290</v>
      </c>
      <c r="N315" s="52" t="s">
        <v>241</v>
      </c>
      <c r="O315" s="53" t="s">
        <v>2460</v>
      </c>
      <c r="P315" s="53" t="s">
        <v>1538</v>
      </c>
      <c r="Q315" s="52">
        <v>796</v>
      </c>
      <c r="R315" s="52" t="s">
        <v>1818</v>
      </c>
      <c r="S315" s="54">
        <v>390</v>
      </c>
      <c r="T315" s="54">
        <f t="shared" si="30"/>
        <v>258.77192982456143</v>
      </c>
      <c r="U315" s="54">
        <f t="shared" si="29"/>
        <v>102723.21428571429</v>
      </c>
      <c r="V315" s="54">
        <v>115050</v>
      </c>
      <c r="W315" s="52"/>
      <c r="X315" s="52">
        <v>2012</v>
      </c>
      <c r="Y315" s="52"/>
    </row>
    <row r="316" spans="2:26" s="55" customFormat="1" ht="114.75" customHeight="1" outlineLevel="1">
      <c r="B316" s="52" t="s">
        <v>1063</v>
      </c>
      <c r="C316" s="78" t="s">
        <v>246</v>
      </c>
      <c r="D316" s="128" t="s">
        <v>265</v>
      </c>
      <c r="E316" s="56" t="s">
        <v>2010</v>
      </c>
      <c r="F316" s="53" t="s">
        <v>2462</v>
      </c>
      <c r="G316" s="53"/>
      <c r="H316" s="52" t="s">
        <v>243</v>
      </c>
      <c r="I316" s="52">
        <v>10</v>
      </c>
      <c r="J316" s="52">
        <v>751000000</v>
      </c>
      <c r="K316" s="53" t="s">
        <v>2290</v>
      </c>
      <c r="L316" s="52" t="s">
        <v>1503</v>
      </c>
      <c r="M316" s="53" t="s">
        <v>2290</v>
      </c>
      <c r="N316" s="52" t="s">
        <v>241</v>
      </c>
      <c r="O316" s="53" t="s">
        <v>2460</v>
      </c>
      <c r="P316" s="53" t="s">
        <v>1538</v>
      </c>
      <c r="Q316" s="52">
        <v>796</v>
      </c>
      <c r="R316" s="52" t="s">
        <v>1818</v>
      </c>
      <c r="S316" s="54">
        <v>1000</v>
      </c>
      <c r="T316" s="54">
        <f t="shared" si="30"/>
        <v>30.701754385964907</v>
      </c>
      <c r="U316" s="54">
        <f t="shared" si="29"/>
        <v>31250</v>
      </c>
      <c r="V316" s="54">
        <v>35000</v>
      </c>
      <c r="W316" s="52"/>
      <c r="X316" s="52">
        <v>2012</v>
      </c>
      <c r="Y316" s="52"/>
    </row>
    <row r="317" spans="2:26" s="55" customFormat="1" ht="114.75" customHeight="1" outlineLevel="1">
      <c r="B317" s="52" t="s">
        <v>1064</v>
      </c>
      <c r="C317" s="78" t="s">
        <v>246</v>
      </c>
      <c r="D317" s="128" t="s">
        <v>265</v>
      </c>
      <c r="E317" s="56" t="s">
        <v>2010</v>
      </c>
      <c r="F317" s="53" t="s">
        <v>2263</v>
      </c>
      <c r="G317" s="53"/>
      <c r="H317" s="52" t="s">
        <v>243</v>
      </c>
      <c r="I317" s="52">
        <v>10</v>
      </c>
      <c r="J317" s="52">
        <v>751000000</v>
      </c>
      <c r="K317" s="53" t="s">
        <v>2290</v>
      </c>
      <c r="L317" s="52" t="s">
        <v>1503</v>
      </c>
      <c r="M317" s="53" t="s">
        <v>2290</v>
      </c>
      <c r="N317" s="52" t="s">
        <v>241</v>
      </c>
      <c r="O317" s="53" t="s">
        <v>2460</v>
      </c>
      <c r="P317" s="53" t="s">
        <v>1538</v>
      </c>
      <c r="Q317" s="52">
        <v>796</v>
      </c>
      <c r="R317" s="52" t="s">
        <v>1818</v>
      </c>
      <c r="S317" s="54">
        <v>390</v>
      </c>
      <c r="T317" s="54">
        <f t="shared" si="30"/>
        <v>22.807017543859651</v>
      </c>
      <c r="U317" s="54">
        <f t="shared" si="29"/>
        <v>9053.5714285714294</v>
      </c>
      <c r="V317" s="54">
        <v>10140</v>
      </c>
      <c r="W317" s="52"/>
      <c r="X317" s="52">
        <v>2012</v>
      </c>
      <c r="Y317" s="52"/>
    </row>
    <row r="318" spans="2:26" s="125" customFormat="1" ht="114.75">
      <c r="B318" s="52" t="s">
        <v>1065</v>
      </c>
      <c r="C318" s="78" t="s">
        <v>246</v>
      </c>
      <c r="D318" s="128" t="s">
        <v>265</v>
      </c>
      <c r="E318" s="56" t="s">
        <v>2011</v>
      </c>
      <c r="F318" s="53" t="s">
        <v>2264</v>
      </c>
      <c r="G318" s="53"/>
      <c r="H318" s="52" t="s">
        <v>243</v>
      </c>
      <c r="I318" s="52">
        <v>10</v>
      </c>
      <c r="J318" s="52">
        <v>751000000</v>
      </c>
      <c r="K318" s="53" t="s">
        <v>2290</v>
      </c>
      <c r="L318" s="52" t="s">
        <v>1503</v>
      </c>
      <c r="M318" s="53" t="s">
        <v>2290</v>
      </c>
      <c r="N318" s="52" t="s">
        <v>241</v>
      </c>
      <c r="O318" s="53" t="s">
        <v>2460</v>
      </c>
      <c r="P318" s="53" t="s">
        <v>1538</v>
      </c>
      <c r="Q318" s="52">
        <v>797</v>
      </c>
      <c r="R318" s="52" t="s">
        <v>1818</v>
      </c>
      <c r="S318" s="54">
        <v>200</v>
      </c>
      <c r="T318" s="54">
        <f>V318/114*100/S318</f>
        <v>153.50877192982455</v>
      </c>
      <c r="U318" s="54">
        <f t="shared" si="29"/>
        <v>31250</v>
      </c>
      <c r="V318" s="54">
        <v>35000</v>
      </c>
      <c r="W318" s="52"/>
      <c r="X318" s="52">
        <v>2012</v>
      </c>
      <c r="Y318" s="52"/>
      <c r="Z318" s="184"/>
    </row>
    <row r="319" spans="2:26" s="55" customFormat="1" ht="114.75" outlineLevel="1">
      <c r="B319" s="52" t="s">
        <v>1066</v>
      </c>
      <c r="C319" s="78" t="s">
        <v>246</v>
      </c>
      <c r="D319" s="56" t="s">
        <v>282</v>
      </c>
      <c r="E319" s="56" t="s">
        <v>2011</v>
      </c>
      <c r="F319" s="53" t="s">
        <v>1934</v>
      </c>
      <c r="G319" s="53"/>
      <c r="H319" s="52" t="s">
        <v>243</v>
      </c>
      <c r="I319" s="52">
        <v>10</v>
      </c>
      <c r="J319" s="52">
        <v>751000000</v>
      </c>
      <c r="K319" s="53" t="s">
        <v>2290</v>
      </c>
      <c r="L319" s="52" t="s">
        <v>1503</v>
      </c>
      <c r="M319" s="53" t="s">
        <v>2290</v>
      </c>
      <c r="N319" s="52" t="s">
        <v>241</v>
      </c>
      <c r="O319" s="53" t="s">
        <v>2460</v>
      </c>
      <c r="P319" s="53" t="s">
        <v>1538</v>
      </c>
      <c r="Q319" s="52">
        <v>796</v>
      </c>
      <c r="R319" s="52" t="s">
        <v>1818</v>
      </c>
      <c r="S319" s="54">
        <v>78</v>
      </c>
      <c r="T319" s="54">
        <f t="shared" si="30"/>
        <v>83.333333333333329</v>
      </c>
      <c r="U319" s="54">
        <f t="shared" si="29"/>
        <v>6616.0714285714294</v>
      </c>
      <c r="V319" s="54">
        <v>7410</v>
      </c>
      <c r="W319" s="52"/>
      <c r="X319" s="52">
        <v>2012</v>
      </c>
      <c r="Y319" s="52"/>
    </row>
    <row r="320" spans="2:26" s="55" customFormat="1" ht="114.75" outlineLevel="1">
      <c r="B320" s="52" t="s">
        <v>1067</v>
      </c>
      <c r="C320" s="78" t="s">
        <v>246</v>
      </c>
      <c r="D320" s="56" t="s">
        <v>266</v>
      </c>
      <c r="E320" s="56" t="s">
        <v>141</v>
      </c>
      <c r="F320" s="53" t="s">
        <v>1935</v>
      </c>
      <c r="G320" s="53"/>
      <c r="H320" s="52" t="s">
        <v>243</v>
      </c>
      <c r="I320" s="52">
        <v>10</v>
      </c>
      <c r="J320" s="52">
        <v>751000000</v>
      </c>
      <c r="K320" s="53" t="s">
        <v>2290</v>
      </c>
      <c r="L320" s="52" t="s">
        <v>1503</v>
      </c>
      <c r="M320" s="53" t="s">
        <v>2290</v>
      </c>
      <c r="N320" s="52" t="s">
        <v>241</v>
      </c>
      <c r="O320" s="53" t="s">
        <v>2460</v>
      </c>
      <c r="P320" s="53" t="s">
        <v>1538</v>
      </c>
      <c r="Q320" s="52">
        <v>796</v>
      </c>
      <c r="R320" s="52" t="s">
        <v>1818</v>
      </c>
      <c r="S320" s="54">
        <v>100</v>
      </c>
      <c r="T320" s="54">
        <f t="shared" si="30"/>
        <v>110.52631578947368</v>
      </c>
      <c r="U320" s="54">
        <f t="shared" si="29"/>
        <v>11250</v>
      </c>
      <c r="V320" s="54">
        <v>12600</v>
      </c>
      <c r="W320" s="52"/>
      <c r="X320" s="52">
        <v>2012</v>
      </c>
      <c r="Y320" s="52"/>
    </row>
    <row r="321" spans="2:25" s="55" customFormat="1" ht="114.75" outlineLevel="1">
      <c r="B321" s="52" t="s">
        <v>1068</v>
      </c>
      <c r="C321" s="78" t="s">
        <v>246</v>
      </c>
      <c r="D321" s="56" t="s">
        <v>266</v>
      </c>
      <c r="E321" s="56" t="s">
        <v>2012</v>
      </c>
      <c r="F321" s="56" t="s">
        <v>1936</v>
      </c>
      <c r="G321" s="56"/>
      <c r="H321" s="52" t="s">
        <v>243</v>
      </c>
      <c r="I321" s="52">
        <v>10</v>
      </c>
      <c r="J321" s="52">
        <v>751000000</v>
      </c>
      <c r="K321" s="53" t="s">
        <v>2290</v>
      </c>
      <c r="L321" s="52" t="s">
        <v>1503</v>
      </c>
      <c r="M321" s="53" t="s">
        <v>2290</v>
      </c>
      <c r="N321" s="52" t="s">
        <v>241</v>
      </c>
      <c r="O321" s="53" t="s">
        <v>2460</v>
      </c>
      <c r="P321" s="53" t="s">
        <v>1538</v>
      </c>
      <c r="Q321" s="52">
        <v>796</v>
      </c>
      <c r="R321" s="52" t="s">
        <v>1818</v>
      </c>
      <c r="S321" s="54">
        <v>30</v>
      </c>
      <c r="T321" s="54">
        <f t="shared" si="30"/>
        <v>665.78947368421052</v>
      </c>
      <c r="U321" s="54">
        <f t="shared" si="29"/>
        <v>20330.357142857141</v>
      </c>
      <c r="V321" s="54">
        <v>22770</v>
      </c>
      <c r="W321" s="52"/>
      <c r="X321" s="52">
        <v>2012</v>
      </c>
      <c r="Y321" s="52"/>
    </row>
    <row r="322" spans="2:25" s="55" customFormat="1" ht="114.75" outlineLevel="1">
      <c r="B322" s="52" t="s">
        <v>1069</v>
      </c>
      <c r="C322" s="78" t="s">
        <v>246</v>
      </c>
      <c r="D322" s="56" t="s">
        <v>266</v>
      </c>
      <c r="E322" s="56" t="s">
        <v>2012</v>
      </c>
      <c r="F322" s="53" t="s">
        <v>1937</v>
      </c>
      <c r="G322" s="53"/>
      <c r="H322" s="52" t="s">
        <v>243</v>
      </c>
      <c r="I322" s="52">
        <v>10</v>
      </c>
      <c r="J322" s="52">
        <v>751000000</v>
      </c>
      <c r="K322" s="53" t="s">
        <v>2290</v>
      </c>
      <c r="L322" s="52" t="s">
        <v>1503</v>
      </c>
      <c r="M322" s="53" t="s">
        <v>2290</v>
      </c>
      <c r="N322" s="52" t="s">
        <v>241</v>
      </c>
      <c r="O322" s="53" t="s">
        <v>2460</v>
      </c>
      <c r="P322" s="53" t="s">
        <v>1538</v>
      </c>
      <c r="Q322" s="52">
        <v>796</v>
      </c>
      <c r="R322" s="52" t="s">
        <v>1818</v>
      </c>
      <c r="S322" s="54">
        <v>9</v>
      </c>
      <c r="T322" s="54">
        <f t="shared" si="30"/>
        <v>2807.0175438596489</v>
      </c>
      <c r="U322" s="54">
        <f t="shared" si="29"/>
        <v>25714.285714285717</v>
      </c>
      <c r="V322" s="54">
        <v>28800</v>
      </c>
      <c r="W322" s="52"/>
      <c r="X322" s="52">
        <v>2012</v>
      </c>
      <c r="Y322" s="52"/>
    </row>
    <row r="323" spans="2:25" s="55" customFormat="1" ht="114.75" outlineLevel="1">
      <c r="B323" s="52" t="s">
        <v>1070</v>
      </c>
      <c r="C323" s="78" t="s">
        <v>246</v>
      </c>
      <c r="D323" s="128" t="s">
        <v>265</v>
      </c>
      <c r="E323" s="56" t="s">
        <v>2013</v>
      </c>
      <c r="F323" s="53" t="s">
        <v>128</v>
      </c>
      <c r="G323" s="53"/>
      <c r="H323" s="52" t="s">
        <v>243</v>
      </c>
      <c r="I323" s="52">
        <v>10</v>
      </c>
      <c r="J323" s="52">
        <v>751000000</v>
      </c>
      <c r="K323" s="53" t="s">
        <v>2290</v>
      </c>
      <c r="L323" s="52" t="s">
        <v>1503</v>
      </c>
      <c r="M323" s="53" t="s">
        <v>2290</v>
      </c>
      <c r="N323" s="52" t="s">
        <v>241</v>
      </c>
      <c r="O323" s="53" t="s">
        <v>2460</v>
      </c>
      <c r="P323" s="53" t="s">
        <v>1538</v>
      </c>
      <c r="Q323" s="52">
        <v>796</v>
      </c>
      <c r="R323" s="52" t="s">
        <v>1818</v>
      </c>
      <c r="S323" s="54">
        <v>800</v>
      </c>
      <c r="T323" s="54">
        <f t="shared" si="30"/>
        <v>28.07017543859649</v>
      </c>
      <c r="U323" s="54">
        <f t="shared" si="29"/>
        <v>22857.142857142859</v>
      </c>
      <c r="V323" s="54">
        <v>25600</v>
      </c>
      <c r="W323" s="52"/>
      <c r="X323" s="52">
        <v>2012</v>
      </c>
      <c r="Y323" s="52"/>
    </row>
    <row r="324" spans="2:25" s="55" customFormat="1" ht="114.75" outlineLevel="1">
      <c r="B324" s="52" t="s">
        <v>1071</v>
      </c>
      <c r="C324" s="78" t="s">
        <v>246</v>
      </c>
      <c r="D324" s="128" t="s">
        <v>265</v>
      </c>
      <c r="E324" s="56" t="s">
        <v>2013</v>
      </c>
      <c r="F324" s="53" t="s">
        <v>1938</v>
      </c>
      <c r="G324" s="53"/>
      <c r="H324" s="52" t="s">
        <v>243</v>
      </c>
      <c r="I324" s="52">
        <v>10</v>
      </c>
      <c r="J324" s="52">
        <v>751000000</v>
      </c>
      <c r="K324" s="53" t="s">
        <v>2290</v>
      </c>
      <c r="L324" s="52" t="s">
        <v>1503</v>
      </c>
      <c r="M324" s="53" t="s">
        <v>2290</v>
      </c>
      <c r="N324" s="52" t="s">
        <v>241</v>
      </c>
      <c r="O324" s="53" t="s">
        <v>2460</v>
      </c>
      <c r="P324" s="53" t="s">
        <v>1538</v>
      </c>
      <c r="Q324" s="52">
        <v>796</v>
      </c>
      <c r="R324" s="52" t="s">
        <v>1818</v>
      </c>
      <c r="S324" s="54">
        <v>200</v>
      </c>
      <c r="T324" s="54">
        <f t="shared" si="30"/>
        <v>52.631578947368418</v>
      </c>
      <c r="U324" s="54">
        <f t="shared" si="29"/>
        <v>10714.285714285714</v>
      </c>
      <c r="V324" s="54">
        <v>12000</v>
      </c>
      <c r="W324" s="52"/>
      <c r="X324" s="52">
        <v>2012</v>
      </c>
      <c r="Y324" s="52"/>
    </row>
    <row r="325" spans="2:25" s="55" customFormat="1" ht="114.75" outlineLevel="1">
      <c r="B325" s="52" t="s">
        <v>1072</v>
      </c>
      <c r="C325" s="78" t="s">
        <v>246</v>
      </c>
      <c r="D325" s="128" t="s">
        <v>265</v>
      </c>
      <c r="E325" s="56" t="s">
        <v>2013</v>
      </c>
      <c r="F325" s="53" t="s">
        <v>1939</v>
      </c>
      <c r="G325" s="53"/>
      <c r="H325" s="52" t="s">
        <v>243</v>
      </c>
      <c r="I325" s="52">
        <v>10</v>
      </c>
      <c r="J325" s="52">
        <v>751000000</v>
      </c>
      <c r="K325" s="53" t="s">
        <v>2290</v>
      </c>
      <c r="L325" s="52" t="s">
        <v>1503</v>
      </c>
      <c r="M325" s="53" t="s">
        <v>2290</v>
      </c>
      <c r="N325" s="52" t="s">
        <v>241</v>
      </c>
      <c r="O325" s="53" t="s">
        <v>2460</v>
      </c>
      <c r="P325" s="53" t="s">
        <v>1538</v>
      </c>
      <c r="Q325" s="52">
        <v>796</v>
      </c>
      <c r="R325" s="52" t="s">
        <v>1818</v>
      </c>
      <c r="S325" s="54">
        <v>112</v>
      </c>
      <c r="T325" s="54">
        <f t="shared" si="30"/>
        <v>106.14035087719299</v>
      </c>
      <c r="U325" s="54">
        <f t="shared" si="29"/>
        <v>12100</v>
      </c>
      <c r="V325" s="54">
        <v>13552</v>
      </c>
      <c r="W325" s="52"/>
      <c r="X325" s="52">
        <v>2012</v>
      </c>
      <c r="Y325" s="52"/>
    </row>
    <row r="326" spans="2:25" s="55" customFormat="1" ht="114.75" outlineLevel="1">
      <c r="B326" s="52" t="s">
        <v>1073</v>
      </c>
      <c r="C326" s="78" t="s">
        <v>246</v>
      </c>
      <c r="D326" s="56" t="s">
        <v>250</v>
      </c>
      <c r="E326" s="56" t="s">
        <v>1541</v>
      </c>
      <c r="F326" s="53" t="s">
        <v>2265</v>
      </c>
      <c r="G326" s="53"/>
      <c r="H326" s="52" t="s">
        <v>243</v>
      </c>
      <c r="I326" s="52">
        <v>10</v>
      </c>
      <c r="J326" s="52">
        <v>751000000</v>
      </c>
      <c r="K326" s="53" t="s">
        <v>2290</v>
      </c>
      <c r="L326" s="52" t="s">
        <v>1503</v>
      </c>
      <c r="M326" s="53" t="s">
        <v>2290</v>
      </c>
      <c r="N326" s="52" t="s">
        <v>241</v>
      </c>
      <c r="O326" s="53" t="s">
        <v>2460</v>
      </c>
      <c r="P326" s="53" t="s">
        <v>1538</v>
      </c>
      <c r="Q326" s="52">
        <v>796</v>
      </c>
      <c r="R326" s="52" t="s">
        <v>1818</v>
      </c>
      <c r="S326" s="54">
        <v>139</v>
      </c>
      <c r="T326" s="54">
        <f t="shared" si="30"/>
        <v>159.64912280701753</v>
      </c>
      <c r="U326" s="54">
        <f t="shared" si="29"/>
        <v>22587.5</v>
      </c>
      <c r="V326" s="54">
        <v>25298</v>
      </c>
      <c r="W326" s="52"/>
      <c r="X326" s="52">
        <v>2012</v>
      </c>
      <c r="Y326" s="52"/>
    </row>
    <row r="327" spans="2:25" s="55" customFormat="1" ht="114.75" outlineLevel="1">
      <c r="B327" s="52" t="s">
        <v>1074</v>
      </c>
      <c r="C327" s="78" t="s">
        <v>246</v>
      </c>
      <c r="D327" s="128" t="s">
        <v>265</v>
      </c>
      <c r="E327" s="56" t="s">
        <v>1940</v>
      </c>
      <c r="F327" s="53" t="s">
        <v>2266</v>
      </c>
      <c r="G327" s="53"/>
      <c r="H327" s="52" t="s">
        <v>243</v>
      </c>
      <c r="I327" s="52">
        <v>10</v>
      </c>
      <c r="J327" s="52">
        <v>751000000</v>
      </c>
      <c r="K327" s="53" t="s">
        <v>2290</v>
      </c>
      <c r="L327" s="52" t="s">
        <v>1503</v>
      </c>
      <c r="M327" s="53" t="s">
        <v>2290</v>
      </c>
      <c r="N327" s="52" t="s">
        <v>241</v>
      </c>
      <c r="O327" s="53" t="s">
        <v>2460</v>
      </c>
      <c r="P327" s="53" t="s">
        <v>1538</v>
      </c>
      <c r="Q327" s="52">
        <v>796</v>
      </c>
      <c r="R327" s="52" t="s">
        <v>1818</v>
      </c>
      <c r="S327" s="54">
        <v>139</v>
      </c>
      <c r="T327" s="54">
        <f t="shared" si="30"/>
        <v>61.403508771929815</v>
      </c>
      <c r="U327" s="54">
        <f t="shared" si="29"/>
        <v>8687.5</v>
      </c>
      <c r="V327" s="54">
        <v>9730</v>
      </c>
      <c r="W327" s="52"/>
      <c r="X327" s="52">
        <v>2012</v>
      </c>
      <c r="Y327" s="52"/>
    </row>
    <row r="328" spans="2:25" s="55" customFormat="1" ht="114.75" outlineLevel="1">
      <c r="B328" s="52" t="s">
        <v>1075</v>
      </c>
      <c r="C328" s="78" t="s">
        <v>246</v>
      </c>
      <c r="D328" s="128" t="s">
        <v>265</v>
      </c>
      <c r="E328" s="56" t="s">
        <v>1941</v>
      </c>
      <c r="F328" s="53" t="s">
        <v>2267</v>
      </c>
      <c r="G328" s="53"/>
      <c r="H328" s="52" t="s">
        <v>243</v>
      </c>
      <c r="I328" s="52">
        <v>10</v>
      </c>
      <c r="J328" s="52">
        <v>751000000</v>
      </c>
      <c r="K328" s="53" t="s">
        <v>2290</v>
      </c>
      <c r="L328" s="52" t="s">
        <v>1503</v>
      </c>
      <c r="M328" s="53" t="s">
        <v>2290</v>
      </c>
      <c r="N328" s="52" t="s">
        <v>241</v>
      </c>
      <c r="O328" s="53" t="s">
        <v>2460</v>
      </c>
      <c r="P328" s="53" t="s">
        <v>1538</v>
      </c>
      <c r="Q328" s="52">
        <v>796</v>
      </c>
      <c r="R328" s="52" t="s">
        <v>1818</v>
      </c>
      <c r="S328" s="54">
        <v>139</v>
      </c>
      <c r="T328" s="54">
        <f t="shared" si="30"/>
        <v>71.052631578947356</v>
      </c>
      <c r="U328" s="54">
        <f t="shared" si="29"/>
        <v>10052.678571428571</v>
      </c>
      <c r="V328" s="54">
        <v>11259</v>
      </c>
      <c r="W328" s="52"/>
      <c r="X328" s="52">
        <v>2012</v>
      </c>
      <c r="Y328" s="52"/>
    </row>
    <row r="329" spans="2:25" s="55" customFormat="1" ht="114.75" outlineLevel="1">
      <c r="B329" s="52" t="s">
        <v>1076</v>
      </c>
      <c r="C329" s="78" t="s">
        <v>246</v>
      </c>
      <c r="D329" s="128" t="s">
        <v>265</v>
      </c>
      <c r="E329" s="56" t="s">
        <v>2015</v>
      </c>
      <c r="F329" s="53" t="s">
        <v>2014</v>
      </c>
      <c r="G329" s="53"/>
      <c r="H329" s="52" t="s">
        <v>243</v>
      </c>
      <c r="I329" s="52">
        <v>10</v>
      </c>
      <c r="J329" s="52">
        <v>751000000</v>
      </c>
      <c r="K329" s="53" t="s">
        <v>2290</v>
      </c>
      <c r="L329" s="52" t="s">
        <v>1503</v>
      </c>
      <c r="M329" s="53" t="s">
        <v>2290</v>
      </c>
      <c r="N329" s="52" t="s">
        <v>241</v>
      </c>
      <c r="O329" s="53" t="s">
        <v>2460</v>
      </c>
      <c r="P329" s="53" t="s">
        <v>1538</v>
      </c>
      <c r="Q329" s="52">
        <v>796</v>
      </c>
      <c r="R329" s="52" t="s">
        <v>1818</v>
      </c>
      <c r="S329" s="54">
        <v>40</v>
      </c>
      <c r="T329" s="54">
        <f t="shared" si="30"/>
        <v>607.01754385964909</v>
      </c>
      <c r="U329" s="54">
        <f t="shared" si="29"/>
        <v>24714.285714285714</v>
      </c>
      <c r="V329" s="54">
        <v>27680</v>
      </c>
      <c r="W329" s="52"/>
      <c r="X329" s="52">
        <v>2012</v>
      </c>
      <c r="Y329" s="52"/>
    </row>
    <row r="330" spans="2:25" s="55" customFormat="1" ht="114.75" outlineLevel="1">
      <c r="B330" s="52" t="s">
        <v>1077</v>
      </c>
      <c r="C330" s="78" t="s">
        <v>246</v>
      </c>
      <c r="D330" s="128" t="s">
        <v>265</v>
      </c>
      <c r="E330" s="56" t="s">
        <v>2017</v>
      </c>
      <c r="F330" s="53" t="s">
        <v>2016</v>
      </c>
      <c r="G330" s="53"/>
      <c r="H330" s="52" t="s">
        <v>243</v>
      </c>
      <c r="I330" s="52">
        <v>10</v>
      </c>
      <c r="J330" s="52">
        <v>751000000</v>
      </c>
      <c r="K330" s="53" t="s">
        <v>2290</v>
      </c>
      <c r="L330" s="52" t="s">
        <v>1503</v>
      </c>
      <c r="M330" s="53" t="s">
        <v>2290</v>
      </c>
      <c r="N330" s="52" t="s">
        <v>241</v>
      </c>
      <c r="O330" s="53" t="s">
        <v>2460</v>
      </c>
      <c r="P330" s="53" t="s">
        <v>1538</v>
      </c>
      <c r="Q330" s="52">
        <v>796</v>
      </c>
      <c r="R330" s="52" t="s">
        <v>1818</v>
      </c>
      <c r="S330" s="54">
        <v>20</v>
      </c>
      <c r="T330" s="54">
        <f t="shared" si="30"/>
        <v>3464.9122807017543</v>
      </c>
      <c r="U330" s="54">
        <f t="shared" si="29"/>
        <v>70535.71428571429</v>
      </c>
      <c r="V330" s="54">
        <v>79000</v>
      </c>
      <c r="W330" s="52"/>
      <c r="X330" s="52">
        <v>2012</v>
      </c>
      <c r="Y330" s="52"/>
    </row>
    <row r="331" spans="2:25" s="55" customFormat="1" ht="114.75" outlineLevel="1">
      <c r="B331" s="52" t="s">
        <v>1078</v>
      </c>
      <c r="C331" s="78" t="s">
        <v>246</v>
      </c>
      <c r="D331" s="128" t="s">
        <v>265</v>
      </c>
      <c r="E331" s="56" t="s">
        <v>2018</v>
      </c>
      <c r="F331" s="53" t="s">
        <v>1942</v>
      </c>
      <c r="G331" s="53"/>
      <c r="H331" s="52" t="s">
        <v>243</v>
      </c>
      <c r="I331" s="52">
        <v>10</v>
      </c>
      <c r="J331" s="52">
        <v>751000000</v>
      </c>
      <c r="K331" s="53" t="s">
        <v>2290</v>
      </c>
      <c r="L331" s="52" t="s">
        <v>1503</v>
      </c>
      <c r="M331" s="53" t="s">
        <v>2290</v>
      </c>
      <c r="N331" s="52" t="s">
        <v>241</v>
      </c>
      <c r="O331" s="53" t="s">
        <v>2460</v>
      </c>
      <c r="P331" s="53" t="s">
        <v>1538</v>
      </c>
      <c r="Q331" s="52">
        <v>796</v>
      </c>
      <c r="R331" s="52" t="s">
        <v>1818</v>
      </c>
      <c r="S331" s="54">
        <v>2000</v>
      </c>
      <c r="T331" s="54">
        <f t="shared" si="30"/>
        <v>6.140350877192982</v>
      </c>
      <c r="U331" s="54">
        <f t="shared" si="29"/>
        <v>12500</v>
      </c>
      <c r="V331" s="54">
        <v>14000</v>
      </c>
      <c r="W331" s="52"/>
      <c r="X331" s="52">
        <v>2012</v>
      </c>
      <c r="Y331" s="52"/>
    </row>
    <row r="332" spans="2:25" s="55" customFormat="1" ht="114.75" outlineLevel="1">
      <c r="B332" s="52" t="s">
        <v>1079</v>
      </c>
      <c r="C332" s="78" t="s">
        <v>246</v>
      </c>
      <c r="D332" s="128" t="s">
        <v>265</v>
      </c>
      <c r="E332" s="56" t="s">
        <v>2018</v>
      </c>
      <c r="F332" s="56" t="s">
        <v>2019</v>
      </c>
      <c r="G332" s="56"/>
      <c r="H332" s="52" t="s">
        <v>243</v>
      </c>
      <c r="I332" s="52">
        <v>10</v>
      </c>
      <c r="J332" s="52">
        <v>751000000</v>
      </c>
      <c r="K332" s="53" t="s">
        <v>2290</v>
      </c>
      <c r="L332" s="52" t="s">
        <v>1503</v>
      </c>
      <c r="M332" s="53" t="s">
        <v>2290</v>
      </c>
      <c r="N332" s="52" t="s">
        <v>241</v>
      </c>
      <c r="O332" s="53" t="s">
        <v>2460</v>
      </c>
      <c r="P332" s="53" t="s">
        <v>1538</v>
      </c>
      <c r="Q332" s="52">
        <v>796</v>
      </c>
      <c r="R332" s="52" t="s">
        <v>1818</v>
      </c>
      <c r="S332" s="54">
        <v>1336</v>
      </c>
      <c r="T332" s="54">
        <f t="shared" si="30"/>
        <v>15.789473684210526</v>
      </c>
      <c r="U332" s="54">
        <f t="shared" si="29"/>
        <v>21471.428571428572</v>
      </c>
      <c r="V332" s="54">
        <v>24048</v>
      </c>
      <c r="W332" s="52"/>
      <c r="X332" s="52">
        <v>2012</v>
      </c>
      <c r="Y332" s="52"/>
    </row>
    <row r="333" spans="2:25" s="55" customFormat="1" ht="114.75" outlineLevel="1">
      <c r="B333" s="52" t="s">
        <v>1080</v>
      </c>
      <c r="C333" s="78" t="s">
        <v>246</v>
      </c>
      <c r="D333" s="52" t="s">
        <v>267</v>
      </c>
      <c r="E333" s="56" t="s">
        <v>2020</v>
      </c>
      <c r="F333" s="53" t="s">
        <v>2463</v>
      </c>
      <c r="G333" s="53"/>
      <c r="H333" s="52" t="s">
        <v>243</v>
      </c>
      <c r="I333" s="52">
        <v>10</v>
      </c>
      <c r="J333" s="52">
        <v>751000000</v>
      </c>
      <c r="K333" s="53" t="s">
        <v>2290</v>
      </c>
      <c r="L333" s="52" t="s">
        <v>1503</v>
      </c>
      <c r="M333" s="53" t="s">
        <v>2290</v>
      </c>
      <c r="N333" s="52" t="s">
        <v>241</v>
      </c>
      <c r="O333" s="53" t="s">
        <v>2460</v>
      </c>
      <c r="P333" s="53" t="s">
        <v>1538</v>
      </c>
      <c r="Q333" s="52">
        <v>796</v>
      </c>
      <c r="R333" s="52" t="s">
        <v>1818</v>
      </c>
      <c r="S333" s="54">
        <v>10</v>
      </c>
      <c r="T333" s="54">
        <f t="shared" si="30"/>
        <v>289.4736842105263</v>
      </c>
      <c r="U333" s="54">
        <f t="shared" si="29"/>
        <v>2946.4285714285716</v>
      </c>
      <c r="V333" s="54">
        <v>3300</v>
      </c>
      <c r="W333" s="52"/>
      <c r="X333" s="52">
        <v>2012</v>
      </c>
      <c r="Y333" s="52"/>
    </row>
    <row r="334" spans="2:25" s="55" customFormat="1" ht="114.75" outlineLevel="1">
      <c r="B334" s="52" t="s">
        <v>1081</v>
      </c>
      <c r="C334" s="78" t="s">
        <v>246</v>
      </c>
      <c r="D334" s="56" t="s">
        <v>250</v>
      </c>
      <c r="E334" s="56" t="s">
        <v>2268</v>
      </c>
      <c r="F334" s="53" t="s">
        <v>2269</v>
      </c>
      <c r="G334" s="53"/>
      <c r="H334" s="52" t="s">
        <v>243</v>
      </c>
      <c r="I334" s="52">
        <v>10</v>
      </c>
      <c r="J334" s="52">
        <v>751000000</v>
      </c>
      <c r="K334" s="53" t="s">
        <v>2290</v>
      </c>
      <c r="L334" s="52" t="s">
        <v>1503</v>
      </c>
      <c r="M334" s="53" t="s">
        <v>2290</v>
      </c>
      <c r="N334" s="52" t="s">
        <v>241</v>
      </c>
      <c r="O334" s="53" t="s">
        <v>2460</v>
      </c>
      <c r="P334" s="53" t="s">
        <v>1538</v>
      </c>
      <c r="Q334" s="52">
        <v>796</v>
      </c>
      <c r="R334" s="52" t="s">
        <v>1818</v>
      </c>
      <c r="S334" s="54">
        <v>40</v>
      </c>
      <c r="T334" s="54">
        <f t="shared" si="30"/>
        <v>644.73684210526312</v>
      </c>
      <c r="U334" s="54">
        <f t="shared" si="29"/>
        <v>26250</v>
      </c>
      <c r="V334" s="54">
        <v>29400</v>
      </c>
      <c r="W334" s="52"/>
      <c r="X334" s="52">
        <v>2012</v>
      </c>
      <c r="Y334" s="52"/>
    </row>
    <row r="335" spans="2:25" s="55" customFormat="1" ht="114.75" outlineLevel="1">
      <c r="B335" s="52" t="s">
        <v>1082</v>
      </c>
      <c r="C335" s="78" t="s">
        <v>246</v>
      </c>
      <c r="D335" s="56" t="s">
        <v>2021</v>
      </c>
      <c r="E335" s="56" t="s">
        <v>129</v>
      </c>
      <c r="F335" s="53" t="s">
        <v>2270</v>
      </c>
      <c r="G335" s="53"/>
      <c r="H335" s="52" t="s">
        <v>243</v>
      </c>
      <c r="I335" s="52">
        <v>10</v>
      </c>
      <c r="J335" s="52">
        <v>751000000</v>
      </c>
      <c r="K335" s="53" t="s">
        <v>2290</v>
      </c>
      <c r="L335" s="52" t="s">
        <v>1503</v>
      </c>
      <c r="M335" s="53" t="s">
        <v>2290</v>
      </c>
      <c r="N335" s="52" t="s">
        <v>241</v>
      </c>
      <c r="O335" s="53" t="s">
        <v>2460</v>
      </c>
      <c r="P335" s="53" t="s">
        <v>1538</v>
      </c>
      <c r="Q335" s="52">
        <v>839</v>
      </c>
      <c r="R335" s="52" t="s">
        <v>348</v>
      </c>
      <c r="S335" s="54">
        <v>78</v>
      </c>
      <c r="T335" s="54">
        <f t="shared" si="30"/>
        <v>210.52631578947367</v>
      </c>
      <c r="U335" s="54">
        <f t="shared" si="29"/>
        <v>16714.285714285714</v>
      </c>
      <c r="V335" s="54">
        <v>18720</v>
      </c>
      <c r="W335" s="52"/>
      <c r="X335" s="52">
        <v>2012</v>
      </c>
      <c r="Y335" s="52"/>
    </row>
    <row r="336" spans="2:25" s="55" customFormat="1" ht="114.75" outlineLevel="1">
      <c r="B336" s="52" t="s">
        <v>1083</v>
      </c>
      <c r="C336" s="78" t="s">
        <v>246</v>
      </c>
      <c r="D336" s="56" t="s">
        <v>2021</v>
      </c>
      <c r="E336" s="56" t="s">
        <v>129</v>
      </c>
      <c r="F336" s="53" t="s">
        <v>2271</v>
      </c>
      <c r="G336" s="53"/>
      <c r="H336" s="52" t="s">
        <v>243</v>
      </c>
      <c r="I336" s="52">
        <v>10</v>
      </c>
      <c r="J336" s="52">
        <v>751000000</v>
      </c>
      <c r="K336" s="53" t="s">
        <v>2290</v>
      </c>
      <c r="L336" s="52" t="s">
        <v>1503</v>
      </c>
      <c r="M336" s="53" t="s">
        <v>2290</v>
      </c>
      <c r="N336" s="52" t="s">
        <v>241</v>
      </c>
      <c r="O336" s="53" t="s">
        <v>2460</v>
      </c>
      <c r="P336" s="53" t="s">
        <v>1538</v>
      </c>
      <c r="Q336" s="52">
        <v>839</v>
      </c>
      <c r="R336" s="52" t="s">
        <v>348</v>
      </c>
      <c r="S336" s="54">
        <v>200</v>
      </c>
      <c r="T336" s="54">
        <f t="shared" si="30"/>
        <v>210.52631578947367</v>
      </c>
      <c r="U336" s="54">
        <f t="shared" si="29"/>
        <v>42857.142857142855</v>
      </c>
      <c r="V336" s="54">
        <v>48000</v>
      </c>
      <c r="W336" s="52"/>
      <c r="X336" s="52">
        <v>2012</v>
      </c>
      <c r="Y336" s="52"/>
    </row>
    <row r="337" spans="2:25" s="55" customFormat="1" ht="114.75" outlineLevel="1">
      <c r="B337" s="52" t="s">
        <v>1084</v>
      </c>
      <c r="C337" s="78" t="s">
        <v>246</v>
      </c>
      <c r="D337" s="56" t="s">
        <v>265</v>
      </c>
      <c r="E337" s="56" t="s">
        <v>1943</v>
      </c>
      <c r="F337" s="53" t="s">
        <v>2022</v>
      </c>
      <c r="G337" s="53"/>
      <c r="H337" s="52" t="s">
        <v>243</v>
      </c>
      <c r="I337" s="52">
        <v>10</v>
      </c>
      <c r="J337" s="52">
        <v>751000000</v>
      </c>
      <c r="K337" s="53" t="s">
        <v>2290</v>
      </c>
      <c r="L337" s="52" t="s">
        <v>1503</v>
      </c>
      <c r="M337" s="53" t="s">
        <v>2290</v>
      </c>
      <c r="N337" s="52" t="s">
        <v>241</v>
      </c>
      <c r="O337" s="53" t="s">
        <v>2460</v>
      </c>
      <c r="P337" s="53" t="s">
        <v>1538</v>
      </c>
      <c r="Q337" s="52">
        <v>796</v>
      </c>
      <c r="R337" s="52" t="s">
        <v>1818</v>
      </c>
      <c r="S337" s="54">
        <v>2780</v>
      </c>
      <c r="T337" s="54">
        <f t="shared" si="30"/>
        <v>142.10526315789474</v>
      </c>
      <c r="U337" s="54">
        <f t="shared" si="29"/>
        <v>402107.14285714284</v>
      </c>
      <c r="V337" s="54">
        <v>450360</v>
      </c>
      <c r="W337" s="52"/>
      <c r="X337" s="52">
        <v>2012</v>
      </c>
      <c r="Y337" s="52"/>
    </row>
    <row r="338" spans="2:25" s="55" customFormat="1" ht="114.75" outlineLevel="1">
      <c r="B338" s="52" t="s">
        <v>1085</v>
      </c>
      <c r="C338" s="78" t="s">
        <v>246</v>
      </c>
      <c r="D338" s="128" t="s">
        <v>265</v>
      </c>
      <c r="E338" s="56" t="s">
        <v>132</v>
      </c>
      <c r="F338" s="56" t="s">
        <v>1944</v>
      </c>
      <c r="G338" s="56"/>
      <c r="H338" s="52" t="s">
        <v>243</v>
      </c>
      <c r="I338" s="52">
        <v>10</v>
      </c>
      <c r="J338" s="52">
        <v>751000000</v>
      </c>
      <c r="K338" s="53" t="s">
        <v>2290</v>
      </c>
      <c r="L338" s="52" t="s">
        <v>1503</v>
      </c>
      <c r="M338" s="53" t="s">
        <v>2290</v>
      </c>
      <c r="N338" s="52" t="s">
        <v>241</v>
      </c>
      <c r="O338" s="53" t="s">
        <v>2460</v>
      </c>
      <c r="P338" s="53" t="s">
        <v>1538</v>
      </c>
      <c r="Q338" s="52">
        <v>796</v>
      </c>
      <c r="R338" s="52" t="s">
        <v>1818</v>
      </c>
      <c r="S338" s="54">
        <v>556</v>
      </c>
      <c r="T338" s="54">
        <f t="shared" si="30"/>
        <v>111.40350877192982</v>
      </c>
      <c r="U338" s="54">
        <f t="shared" si="29"/>
        <v>63046.428571428565</v>
      </c>
      <c r="V338" s="54">
        <v>70612</v>
      </c>
      <c r="W338" s="52"/>
      <c r="X338" s="52">
        <v>2012</v>
      </c>
      <c r="Y338" s="52"/>
    </row>
    <row r="339" spans="2:25" s="55" customFormat="1" ht="114.75" outlineLevel="1">
      <c r="B339" s="52" t="s">
        <v>1086</v>
      </c>
      <c r="C339" s="78" t="s">
        <v>246</v>
      </c>
      <c r="D339" s="128" t="s">
        <v>265</v>
      </c>
      <c r="E339" s="56" t="s">
        <v>1945</v>
      </c>
      <c r="F339" s="56" t="s">
        <v>1945</v>
      </c>
      <c r="G339" s="56"/>
      <c r="H339" s="52" t="s">
        <v>243</v>
      </c>
      <c r="I339" s="52">
        <v>10</v>
      </c>
      <c r="J339" s="52">
        <v>751000000</v>
      </c>
      <c r="K339" s="53" t="s">
        <v>2290</v>
      </c>
      <c r="L339" s="52" t="s">
        <v>1503</v>
      </c>
      <c r="M339" s="53" t="s">
        <v>2290</v>
      </c>
      <c r="N339" s="52" t="s">
        <v>241</v>
      </c>
      <c r="O339" s="53" t="s">
        <v>2460</v>
      </c>
      <c r="P339" s="53" t="s">
        <v>1538</v>
      </c>
      <c r="Q339" s="52">
        <v>796</v>
      </c>
      <c r="R339" s="52" t="s">
        <v>1818</v>
      </c>
      <c r="S339" s="54">
        <v>278</v>
      </c>
      <c r="T339" s="54">
        <f t="shared" si="30"/>
        <v>83.333333333333329</v>
      </c>
      <c r="U339" s="54">
        <f t="shared" si="29"/>
        <v>23580.357142857141</v>
      </c>
      <c r="V339" s="54">
        <v>26410</v>
      </c>
      <c r="W339" s="52"/>
      <c r="X339" s="52">
        <v>2012</v>
      </c>
      <c r="Y339" s="52"/>
    </row>
    <row r="340" spans="2:25" s="55" customFormat="1" ht="114.75" outlineLevel="1">
      <c r="B340" s="52" t="s">
        <v>1087</v>
      </c>
      <c r="C340" s="78" t="s">
        <v>246</v>
      </c>
      <c r="D340" s="128" t="s">
        <v>265</v>
      </c>
      <c r="E340" s="56" t="s">
        <v>2023</v>
      </c>
      <c r="F340" s="56" t="s">
        <v>2272</v>
      </c>
      <c r="G340" s="56"/>
      <c r="H340" s="52" t="s">
        <v>243</v>
      </c>
      <c r="I340" s="52">
        <v>10</v>
      </c>
      <c r="J340" s="52">
        <v>751000000</v>
      </c>
      <c r="K340" s="53" t="s">
        <v>2290</v>
      </c>
      <c r="L340" s="52" t="s">
        <v>1503</v>
      </c>
      <c r="M340" s="53" t="s">
        <v>2290</v>
      </c>
      <c r="N340" s="52" t="s">
        <v>241</v>
      </c>
      <c r="O340" s="53" t="s">
        <v>2460</v>
      </c>
      <c r="P340" s="53" t="s">
        <v>1538</v>
      </c>
      <c r="Q340" s="52">
        <v>796</v>
      </c>
      <c r="R340" s="52" t="s">
        <v>1818</v>
      </c>
      <c r="S340" s="54">
        <v>5560</v>
      </c>
      <c r="T340" s="54">
        <f t="shared" si="30"/>
        <v>5.2631578947368425</v>
      </c>
      <c r="U340" s="54">
        <f t="shared" si="29"/>
        <v>29785.714285714283</v>
      </c>
      <c r="V340" s="54">
        <v>33360</v>
      </c>
      <c r="W340" s="52"/>
      <c r="X340" s="52">
        <v>2012</v>
      </c>
      <c r="Y340" s="52"/>
    </row>
    <row r="341" spans="2:25" s="55" customFormat="1" ht="114.75" outlineLevel="1">
      <c r="B341" s="52" t="s">
        <v>1088</v>
      </c>
      <c r="C341" s="78" t="s">
        <v>246</v>
      </c>
      <c r="D341" s="128" t="s">
        <v>265</v>
      </c>
      <c r="E341" s="56" t="s">
        <v>1946</v>
      </c>
      <c r="F341" s="53" t="s">
        <v>2024</v>
      </c>
      <c r="G341" s="53"/>
      <c r="H341" s="52" t="s">
        <v>243</v>
      </c>
      <c r="I341" s="52">
        <v>10</v>
      </c>
      <c r="J341" s="52">
        <v>751000000</v>
      </c>
      <c r="K341" s="53" t="s">
        <v>2290</v>
      </c>
      <c r="L341" s="52" t="s">
        <v>1503</v>
      </c>
      <c r="M341" s="53" t="s">
        <v>2290</v>
      </c>
      <c r="N341" s="52" t="s">
        <v>241</v>
      </c>
      <c r="O341" s="53" t="s">
        <v>2460</v>
      </c>
      <c r="P341" s="53" t="s">
        <v>1538</v>
      </c>
      <c r="Q341" s="52">
        <v>796</v>
      </c>
      <c r="R341" s="52" t="s">
        <v>1818</v>
      </c>
      <c r="S341" s="54">
        <v>834</v>
      </c>
      <c r="T341" s="54">
        <f t="shared" si="30"/>
        <v>13.157894736842106</v>
      </c>
      <c r="U341" s="54">
        <f t="shared" si="29"/>
        <v>11169.642857142857</v>
      </c>
      <c r="V341" s="54">
        <v>12510</v>
      </c>
      <c r="W341" s="52"/>
      <c r="X341" s="52">
        <v>2012</v>
      </c>
      <c r="Y341" s="52"/>
    </row>
    <row r="342" spans="2:25" s="55" customFormat="1" ht="114.75" outlineLevel="1">
      <c r="B342" s="52" t="s">
        <v>1089</v>
      </c>
      <c r="C342" s="78" t="s">
        <v>246</v>
      </c>
      <c r="D342" s="128" t="s">
        <v>265</v>
      </c>
      <c r="E342" s="56" t="s">
        <v>1947</v>
      </c>
      <c r="F342" s="53" t="s">
        <v>2273</v>
      </c>
      <c r="G342" s="53"/>
      <c r="H342" s="52" t="s">
        <v>243</v>
      </c>
      <c r="I342" s="52">
        <v>10</v>
      </c>
      <c r="J342" s="52">
        <v>751000000</v>
      </c>
      <c r="K342" s="53" t="s">
        <v>2290</v>
      </c>
      <c r="L342" s="52" t="s">
        <v>1503</v>
      </c>
      <c r="M342" s="53" t="s">
        <v>2290</v>
      </c>
      <c r="N342" s="52" t="s">
        <v>241</v>
      </c>
      <c r="O342" s="53" t="s">
        <v>2460</v>
      </c>
      <c r="P342" s="53" t="s">
        <v>1538</v>
      </c>
      <c r="Q342" s="52">
        <v>796</v>
      </c>
      <c r="R342" s="52" t="s">
        <v>1818</v>
      </c>
      <c r="S342" s="54">
        <v>1390</v>
      </c>
      <c r="T342" s="54">
        <f t="shared" si="30"/>
        <v>48.245614035087726</v>
      </c>
      <c r="U342" s="54">
        <f t="shared" si="29"/>
        <v>68258.928571428565</v>
      </c>
      <c r="V342" s="54">
        <v>76450</v>
      </c>
      <c r="W342" s="52"/>
      <c r="X342" s="52">
        <v>2012</v>
      </c>
      <c r="Y342" s="52"/>
    </row>
    <row r="343" spans="2:25" s="55" customFormat="1" ht="114.75" outlineLevel="1">
      <c r="B343" s="52" t="s">
        <v>1090</v>
      </c>
      <c r="C343" s="78" t="s">
        <v>246</v>
      </c>
      <c r="D343" s="128" t="s">
        <v>265</v>
      </c>
      <c r="E343" s="56" t="s">
        <v>2025</v>
      </c>
      <c r="F343" s="53" t="s">
        <v>2026</v>
      </c>
      <c r="G343" s="53"/>
      <c r="H343" s="52" t="s">
        <v>243</v>
      </c>
      <c r="I343" s="52">
        <v>10</v>
      </c>
      <c r="J343" s="52">
        <v>751000000</v>
      </c>
      <c r="K343" s="53" t="s">
        <v>2290</v>
      </c>
      <c r="L343" s="52" t="s">
        <v>1503</v>
      </c>
      <c r="M343" s="53" t="s">
        <v>2290</v>
      </c>
      <c r="N343" s="52" t="s">
        <v>241</v>
      </c>
      <c r="O343" s="53" t="s">
        <v>2460</v>
      </c>
      <c r="P343" s="53" t="s">
        <v>1538</v>
      </c>
      <c r="Q343" s="52">
        <v>796</v>
      </c>
      <c r="R343" s="52" t="s">
        <v>1818</v>
      </c>
      <c r="S343" s="54">
        <v>278</v>
      </c>
      <c r="T343" s="54">
        <f t="shared" si="30"/>
        <v>83.333333333333329</v>
      </c>
      <c r="U343" s="54">
        <f t="shared" si="29"/>
        <v>23580.357142857141</v>
      </c>
      <c r="V343" s="54">
        <v>26410</v>
      </c>
      <c r="W343" s="52"/>
      <c r="X343" s="52">
        <v>2012</v>
      </c>
      <c r="Y343" s="52"/>
    </row>
    <row r="344" spans="2:25" s="55" customFormat="1" ht="114.75" outlineLevel="1">
      <c r="B344" s="52" t="s">
        <v>1091</v>
      </c>
      <c r="C344" s="78" t="s">
        <v>246</v>
      </c>
      <c r="D344" s="128" t="s">
        <v>265</v>
      </c>
      <c r="E344" s="56" t="s">
        <v>1948</v>
      </c>
      <c r="F344" s="53" t="s">
        <v>1452</v>
      </c>
      <c r="G344" s="53"/>
      <c r="H344" s="52" t="s">
        <v>243</v>
      </c>
      <c r="I344" s="52">
        <v>10</v>
      </c>
      <c r="J344" s="52">
        <v>751000000</v>
      </c>
      <c r="K344" s="53" t="s">
        <v>2290</v>
      </c>
      <c r="L344" s="52" t="s">
        <v>1503</v>
      </c>
      <c r="M344" s="53" t="s">
        <v>2290</v>
      </c>
      <c r="N344" s="52" t="s">
        <v>241</v>
      </c>
      <c r="O344" s="53" t="s">
        <v>2460</v>
      </c>
      <c r="P344" s="53" t="s">
        <v>1538</v>
      </c>
      <c r="Q344" s="52">
        <v>796</v>
      </c>
      <c r="R344" s="52" t="s">
        <v>1818</v>
      </c>
      <c r="S344" s="54">
        <v>30</v>
      </c>
      <c r="T344" s="54">
        <f t="shared" si="30"/>
        <v>2986.8421052631579</v>
      </c>
      <c r="U344" s="54">
        <f t="shared" si="29"/>
        <v>91205.357142857145</v>
      </c>
      <c r="V344" s="54">
        <v>102150</v>
      </c>
      <c r="W344" s="52"/>
      <c r="X344" s="52">
        <v>2012</v>
      </c>
      <c r="Y344" s="52"/>
    </row>
    <row r="345" spans="2:25" s="55" customFormat="1" ht="114.75" outlineLevel="1">
      <c r="B345" s="52" t="s">
        <v>1092</v>
      </c>
      <c r="C345" s="78" t="s">
        <v>246</v>
      </c>
      <c r="D345" s="128" t="s">
        <v>265</v>
      </c>
      <c r="E345" s="56" t="s">
        <v>1949</v>
      </c>
      <c r="F345" s="53" t="s">
        <v>2027</v>
      </c>
      <c r="G345" s="53"/>
      <c r="H345" s="52" t="s">
        <v>243</v>
      </c>
      <c r="I345" s="52">
        <v>10</v>
      </c>
      <c r="J345" s="52">
        <v>751000000</v>
      </c>
      <c r="K345" s="53" t="s">
        <v>2290</v>
      </c>
      <c r="L345" s="52" t="s">
        <v>1503</v>
      </c>
      <c r="M345" s="53" t="s">
        <v>2290</v>
      </c>
      <c r="N345" s="52" t="s">
        <v>241</v>
      </c>
      <c r="O345" s="53" t="s">
        <v>2460</v>
      </c>
      <c r="P345" s="53" t="s">
        <v>1538</v>
      </c>
      <c r="Q345" s="52">
        <v>796</v>
      </c>
      <c r="R345" s="52" t="s">
        <v>1818</v>
      </c>
      <c r="S345" s="54">
        <v>6950</v>
      </c>
      <c r="T345" s="54">
        <f t="shared" si="30"/>
        <v>6.1403508771929829</v>
      </c>
      <c r="U345" s="54">
        <f t="shared" si="29"/>
        <v>43437.5</v>
      </c>
      <c r="V345" s="54">
        <v>48650</v>
      </c>
      <c r="W345" s="52"/>
      <c r="X345" s="52">
        <v>2012</v>
      </c>
      <c r="Y345" s="52"/>
    </row>
    <row r="346" spans="2:25" s="55" customFormat="1" ht="165.75" outlineLevel="1">
      <c r="B346" s="52" t="s">
        <v>1093</v>
      </c>
      <c r="C346" s="78" t="s">
        <v>246</v>
      </c>
      <c r="D346" s="77">
        <v>27015</v>
      </c>
      <c r="E346" s="56" t="s">
        <v>2325</v>
      </c>
      <c r="F346" s="56" t="s">
        <v>2324</v>
      </c>
      <c r="G346" s="56"/>
      <c r="H346" s="52" t="s">
        <v>243</v>
      </c>
      <c r="I346" s="52">
        <v>10</v>
      </c>
      <c r="J346" s="52">
        <v>751000000</v>
      </c>
      <c r="K346" s="63" t="s">
        <v>1437</v>
      </c>
      <c r="L346" s="52" t="s">
        <v>1503</v>
      </c>
      <c r="M346" s="63" t="s">
        <v>1437</v>
      </c>
      <c r="N346" s="52" t="s">
        <v>241</v>
      </c>
      <c r="O346" s="53" t="s">
        <v>1978</v>
      </c>
      <c r="P346" s="53" t="s">
        <v>1538</v>
      </c>
      <c r="Q346" s="52">
        <v>5111</v>
      </c>
      <c r="R346" s="52" t="s">
        <v>1434</v>
      </c>
      <c r="S346" s="54">
        <v>480</v>
      </c>
      <c r="T346" s="54">
        <f t="shared" ref="T346:T366" si="31">V346/114*100/S346</f>
        <v>565.78947368421052</v>
      </c>
      <c r="U346" s="54">
        <f t="shared" ref="U346:U369" si="32">V346/112*100</f>
        <v>276428.57142857142</v>
      </c>
      <c r="V346" s="54">
        <v>309600</v>
      </c>
      <c r="W346" s="52"/>
      <c r="X346" s="52">
        <v>2012</v>
      </c>
      <c r="Y346" s="52"/>
    </row>
    <row r="347" spans="2:25" s="55" customFormat="1" ht="114.75" outlineLevel="1">
      <c r="B347" s="52" t="s">
        <v>1094</v>
      </c>
      <c r="C347" s="78" t="s">
        <v>246</v>
      </c>
      <c r="D347" s="56" t="s">
        <v>263</v>
      </c>
      <c r="E347" s="56" t="s">
        <v>130</v>
      </c>
      <c r="F347" s="56" t="s">
        <v>1438</v>
      </c>
      <c r="G347" s="56"/>
      <c r="H347" s="52" t="s">
        <v>243</v>
      </c>
      <c r="I347" s="52">
        <v>10</v>
      </c>
      <c r="J347" s="52">
        <v>751000000</v>
      </c>
      <c r="K347" s="63" t="s">
        <v>1437</v>
      </c>
      <c r="L347" s="52" t="s">
        <v>1503</v>
      </c>
      <c r="M347" s="63" t="s">
        <v>1437</v>
      </c>
      <c r="N347" s="52" t="s">
        <v>241</v>
      </c>
      <c r="O347" s="53" t="s">
        <v>1978</v>
      </c>
      <c r="P347" s="53" t="s">
        <v>1538</v>
      </c>
      <c r="Q347" s="52">
        <v>736</v>
      </c>
      <c r="R347" s="52" t="s">
        <v>1435</v>
      </c>
      <c r="S347" s="54">
        <v>40</v>
      </c>
      <c r="T347" s="54">
        <f t="shared" si="31"/>
        <v>216.88596491228068</v>
      </c>
      <c r="U347" s="54">
        <f t="shared" si="32"/>
        <v>8830.3571428571431</v>
      </c>
      <c r="V347" s="54">
        <v>9890</v>
      </c>
      <c r="W347" s="52"/>
      <c r="X347" s="52">
        <v>2012</v>
      </c>
      <c r="Y347" s="52"/>
    </row>
    <row r="348" spans="2:25" s="55" customFormat="1" ht="114.75" outlineLevel="1">
      <c r="B348" s="52" t="s">
        <v>1095</v>
      </c>
      <c r="C348" s="78" t="s">
        <v>246</v>
      </c>
      <c r="D348" s="128" t="s">
        <v>265</v>
      </c>
      <c r="E348" s="56" t="s">
        <v>131</v>
      </c>
      <c r="F348" s="53" t="s">
        <v>1456</v>
      </c>
      <c r="G348" s="53"/>
      <c r="H348" s="52" t="s">
        <v>243</v>
      </c>
      <c r="I348" s="52">
        <v>10</v>
      </c>
      <c r="J348" s="52">
        <v>751000000</v>
      </c>
      <c r="K348" s="63" t="s">
        <v>1437</v>
      </c>
      <c r="L348" s="52" t="s">
        <v>1503</v>
      </c>
      <c r="M348" s="63" t="s">
        <v>1437</v>
      </c>
      <c r="N348" s="52" t="s">
        <v>241</v>
      </c>
      <c r="O348" s="53" t="s">
        <v>1978</v>
      </c>
      <c r="P348" s="53" t="s">
        <v>1538</v>
      </c>
      <c r="Q348" s="52">
        <v>796</v>
      </c>
      <c r="R348" s="52" t="s">
        <v>1818</v>
      </c>
      <c r="S348" s="54">
        <v>80</v>
      </c>
      <c r="T348" s="54">
        <f t="shared" si="31"/>
        <v>103.7280701754386</v>
      </c>
      <c r="U348" s="54">
        <f t="shared" si="32"/>
        <v>8446.4285714285706</v>
      </c>
      <c r="V348" s="54">
        <v>9460</v>
      </c>
      <c r="W348" s="52"/>
      <c r="X348" s="52">
        <v>2012</v>
      </c>
      <c r="Y348" s="52"/>
    </row>
    <row r="349" spans="2:25" s="55" customFormat="1" ht="114.75" outlineLevel="1">
      <c r="B349" s="52" t="s">
        <v>1096</v>
      </c>
      <c r="C349" s="78" t="s">
        <v>246</v>
      </c>
      <c r="D349" s="128" t="s">
        <v>265</v>
      </c>
      <c r="E349" s="56" t="s">
        <v>132</v>
      </c>
      <c r="F349" s="56" t="s">
        <v>1439</v>
      </c>
      <c r="G349" s="56"/>
      <c r="H349" s="52" t="s">
        <v>243</v>
      </c>
      <c r="I349" s="52">
        <v>10</v>
      </c>
      <c r="J349" s="52">
        <v>751000000</v>
      </c>
      <c r="K349" s="63" t="s">
        <v>1437</v>
      </c>
      <c r="L349" s="52" t="s">
        <v>1503</v>
      </c>
      <c r="M349" s="63" t="s">
        <v>1437</v>
      </c>
      <c r="N349" s="52" t="s">
        <v>241</v>
      </c>
      <c r="O349" s="53" t="s">
        <v>1978</v>
      </c>
      <c r="P349" s="53" t="s">
        <v>1538</v>
      </c>
      <c r="Q349" s="52">
        <v>796</v>
      </c>
      <c r="R349" s="52" t="s">
        <v>1818</v>
      </c>
      <c r="S349" s="54">
        <v>80</v>
      </c>
      <c r="T349" s="54">
        <f t="shared" si="31"/>
        <v>141.44736842105266</v>
      </c>
      <c r="U349" s="54">
        <f t="shared" si="32"/>
        <v>11517.857142857143</v>
      </c>
      <c r="V349" s="54">
        <v>12900</v>
      </c>
      <c r="W349" s="52"/>
      <c r="X349" s="52">
        <v>2012</v>
      </c>
      <c r="Y349" s="52"/>
    </row>
    <row r="350" spans="2:25" s="55" customFormat="1" ht="114.75" outlineLevel="1">
      <c r="B350" s="52" t="s">
        <v>1097</v>
      </c>
      <c r="C350" s="78" t="s">
        <v>246</v>
      </c>
      <c r="D350" s="128" t="s">
        <v>265</v>
      </c>
      <c r="E350" s="56" t="s">
        <v>133</v>
      </c>
      <c r="F350" s="56" t="s">
        <v>1440</v>
      </c>
      <c r="G350" s="56"/>
      <c r="H350" s="52" t="s">
        <v>243</v>
      </c>
      <c r="I350" s="52">
        <v>10</v>
      </c>
      <c r="J350" s="52">
        <v>751000000</v>
      </c>
      <c r="K350" s="63" t="s">
        <v>1437</v>
      </c>
      <c r="L350" s="52" t="s">
        <v>1503</v>
      </c>
      <c r="M350" s="63" t="s">
        <v>1437</v>
      </c>
      <c r="N350" s="52" t="s">
        <v>241</v>
      </c>
      <c r="O350" s="53" t="s">
        <v>1978</v>
      </c>
      <c r="P350" s="53" t="s">
        <v>1538</v>
      </c>
      <c r="Q350" s="52">
        <v>796</v>
      </c>
      <c r="R350" s="52" t="s">
        <v>1818</v>
      </c>
      <c r="S350" s="54">
        <v>80</v>
      </c>
      <c r="T350" s="54">
        <f t="shared" si="31"/>
        <v>89.583333333333343</v>
      </c>
      <c r="U350" s="54">
        <f t="shared" si="32"/>
        <v>7294.6428571428569</v>
      </c>
      <c r="V350" s="54">
        <v>8170</v>
      </c>
      <c r="W350" s="52"/>
      <c r="X350" s="52">
        <v>2012</v>
      </c>
      <c r="Y350" s="52"/>
    </row>
    <row r="351" spans="2:25" s="55" customFormat="1" ht="114.75" outlineLevel="1">
      <c r="B351" s="52" t="s">
        <v>1098</v>
      </c>
      <c r="C351" s="78" t="s">
        <v>246</v>
      </c>
      <c r="D351" s="128" t="s">
        <v>265</v>
      </c>
      <c r="E351" s="56" t="s">
        <v>134</v>
      </c>
      <c r="F351" s="53" t="s">
        <v>2274</v>
      </c>
      <c r="G351" s="53"/>
      <c r="H351" s="52" t="s">
        <v>243</v>
      </c>
      <c r="I351" s="52">
        <v>10</v>
      </c>
      <c r="J351" s="52">
        <v>751000000</v>
      </c>
      <c r="K351" s="63" t="s">
        <v>1437</v>
      </c>
      <c r="L351" s="52" t="s">
        <v>1503</v>
      </c>
      <c r="M351" s="63" t="s">
        <v>1437</v>
      </c>
      <c r="N351" s="52" t="s">
        <v>241</v>
      </c>
      <c r="O351" s="53" t="s">
        <v>1978</v>
      </c>
      <c r="P351" s="53" t="s">
        <v>1538</v>
      </c>
      <c r="Q351" s="52">
        <v>704</v>
      </c>
      <c r="R351" s="52" t="s">
        <v>1436</v>
      </c>
      <c r="S351" s="54">
        <v>20</v>
      </c>
      <c r="T351" s="54">
        <f t="shared" si="31"/>
        <v>1131.5789473684213</v>
      </c>
      <c r="U351" s="54">
        <f t="shared" si="32"/>
        <v>23035.714285714286</v>
      </c>
      <c r="V351" s="54">
        <v>25800</v>
      </c>
      <c r="W351" s="52"/>
      <c r="X351" s="52">
        <v>2012</v>
      </c>
      <c r="Y351" s="52"/>
    </row>
    <row r="352" spans="2:25" s="55" customFormat="1" ht="114.75" outlineLevel="1">
      <c r="B352" s="52" t="s">
        <v>1099</v>
      </c>
      <c r="C352" s="78" t="s">
        <v>246</v>
      </c>
      <c r="D352" s="128" t="s">
        <v>265</v>
      </c>
      <c r="E352" s="56" t="s">
        <v>135</v>
      </c>
      <c r="F352" s="56" t="s">
        <v>1441</v>
      </c>
      <c r="G352" s="56"/>
      <c r="H352" s="52" t="s">
        <v>243</v>
      </c>
      <c r="I352" s="52">
        <v>10</v>
      </c>
      <c r="J352" s="52">
        <v>751000000</v>
      </c>
      <c r="K352" s="63" t="s">
        <v>1437</v>
      </c>
      <c r="L352" s="52" t="s">
        <v>1503</v>
      </c>
      <c r="M352" s="63" t="s">
        <v>1437</v>
      </c>
      <c r="N352" s="52" t="s">
        <v>241</v>
      </c>
      <c r="O352" s="53" t="s">
        <v>1978</v>
      </c>
      <c r="P352" s="53" t="s">
        <v>1538</v>
      </c>
      <c r="Q352" s="52">
        <v>796</v>
      </c>
      <c r="R352" s="52" t="s">
        <v>1818</v>
      </c>
      <c r="S352" s="54">
        <v>480</v>
      </c>
      <c r="T352" s="54">
        <f t="shared" si="31"/>
        <v>9.4298245614035086</v>
      </c>
      <c r="U352" s="54">
        <f t="shared" si="32"/>
        <v>4607.1428571428569</v>
      </c>
      <c r="V352" s="54">
        <v>5160</v>
      </c>
      <c r="W352" s="52"/>
      <c r="X352" s="52">
        <v>2012</v>
      </c>
      <c r="Y352" s="52"/>
    </row>
    <row r="353" spans="2:25" s="55" customFormat="1" ht="114.75" outlineLevel="1">
      <c r="B353" s="52" t="s">
        <v>1100</v>
      </c>
      <c r="C353" s="78" t="s">
        <v>246</v>
      </c>
      <c r="D353" s="128" t="s">
        <v>268</v>
      </c>
      <c r="E353" s="56" t="s">
        <v>136</v>
      </c>
      <c r="F353" s="56" t="s">
        <v>1442</v>
      </c>
      <c r="G353" s="56"/>
      <c r="H353" s="52" t="s">
        <v>243</v>
      </c>
      <c r="I353" s="52">
        <v>10</v>
      </c>
      <c r="J353" s="52">
        <v>751000000</v>
      </c>
      <c r="K353" s="63" t="s">
        <v>1437</v>
      </c>
      <c r="L353" s="52" t="s">
        <v>1503</v>
      </c>
      <c r="M353" s="63" t="s">
        <v>1437</v>
      </c>
      <c r="N353" s="52" t="s">
        <v>241</v>
      </c>
      <c r="O353" s="53" t="s">
        <v>1978</v>
      </c>
      <c r="P353" s="53" t="s">
        <v>1538</v>
      </c>
      <c r="Q353" s="52">
        <v>796</v>
      </c>
      <c r="R353" s="52" t="s">
        <v>1818</v>
      </c>
      <c r="S353" s="54">
        <v>120</v>
      </c>
      <c r="T353" s="54">
        <f t="shared" si="31"/>
        <v>424.34210526315786</v>
      </c>
      <c r="U353" s="54">
        <f t="shared" si="32"/>
        <v>51830.357142857145</v>
      </c>
      <c r="V353" s="54">
        <v>58050</v>
      </c>
      <c r="W353" s="52"/>
      <c r="X353" s="52">
        <v>2012</v>
      </c>
      <c r="Y353" s="52"/>
    </row>
    <row r="354" spans="2:25" s="55" customFormat="1" ht="114.75" outlineLevel="1">
      <c r="B354" s="52" t="s">
        <v>1101</v>
      </c>
      <c r="C354" s="78" t="s">
        <v>246</v>
      </c>
      <c r="D354" s="128" t="s">
        <v>265</v>
      </c>
      <c r="E354" s="56" t="s">
        <v>137</v>
      </c>
      <c r="F354" s="56" t="s">
        <v>1443</v>
      </c>
      <c r="G354" s="56"/>
      <c r="H354" s="52" t="s">
        <v>243</v>
      </c>
      <c r="I354" s="52">
        <v>10</v>
      </c>
      <c r="J354" s="52">
        <v>751000000</v>
      </c>
      <c r="K354" s="63" t="s">
        <v>1437</v>
      </c>
      <c r="L354" s="52" t="s">
        <v>1503</v>
      </c>
      <c r="M354" s="63" t="s">
        <v>1437</v>
      </c>
      <c r="N354" s="52" t="s">
        <v>241</v>
      </c>
      <c r="O354" s="53" t="s">
        <v>1978</v>
      </c>
      <c r="P354" s="53" t="s">
        <v>1538</v>
      </c>
      <c r="Q354" s="52">
        <v>796</v>
      </c>
      <c r="R354" s="52" t="s">
        <v>1818</v>
      </c>
      <c r="S354" s="54">
        <v>120</v>
      </c>
      <c r="T354" s="54">
        <f t="shared" si="31"/>
        <v>179.16666666666666</v>
      </c>
      <c r="U354" s="54">
        <f t="shared" si="32"/>
        <v>21883.928571428572</v>
      </c>
      <c r="V354" s="54">
        <v>24510</v>
      </c>
      <c r="W354" s="52"/>
      <c r="X354" s="52">
        <v>2012</v>
      </c>
      <c r="Y354" s="52"/>
    </row>
    <row r="355" spans="2:25" s="55" customFormat="1" ht="114.75" outlineLevel="1">
      <c r="B355" s="52" t="s">
        <v>1102</v>
      </c>
      <c r="C355" s="78" t="s">
        <v>246</v>
      </c>
      <c r="D355" s="128" t="s">
        <v>265</v>
      </c>
      <c r="E355" s="56" t="s">
        <v>138</v>
      </c>
      <c r="F355" s="56" t="s">
        <v>1444</v>
      </c>
      <c r="G355" s="56"/>
      <c r="H355" s="52" t="s">
        <v>243</v>
      </c>
      <c r="I355" s="52">
        <v>10</v>
      </c>
      <c r="J355" s="52">
        <v>751000000</v>
      </c>
      <c r="K355" s="63" t="s">
        <v>1437</v>
      </c>
      <c r="L355" s="52" t="s">
        <v>1503</v>
      </c>
      <c r="M355" s="63" t="s">
        <v>1437</v>
      </c>
      <c r="N355" s="52" t="s">
        <v>241</v>
      </c>
      <c r="O355" s="53" t="s">
        <v>1978</v>
      </c>
      <c r="P355" s="53" t="s">
        <v>1538</v>
      </c>
      <c r="Q355" s="52">
        <v>796</v>
      </c>
      <c r="R355" s="52" t="s">
        <v>1818</v>
      </c>
      <c r="S355" s="54">
        <v>20</v>
      </c>
      <c r="T355" s="54">
        <f t="shared" si="31"/>
        <v>141.44736842105266</v>
      </c>
      <c r="U355" s="54">
        <f t="shared" si="32"/>
        <v>2879.4642857142858</v>
      </c>
      <c r="V355" s="54">
        <v>3225</v>
      </c>
      <c r="W355" s="52"/>
      <c r="X355" s="52">
        <v>2012</v>
      </c>
      <c r="Y355" s="52"/>
    </row>
    <row r="356" spans="2:25" s="55" customFormat="1" ht="114.75" outlineLevel="1">
      <c r="B356" s="52" t="s">
        <v>1103</v>
      </c>
      <c r="C356" s="78" t="s">
        <v>246</v>
      </c>
      <c r="D356" s="128" t="s">
        <v>265</v>
      </c>
      <c r="E356" s="56" t="s">
        <v>139</v>
      </c>
      <c r="F356" s="56" t="s">
        <v>1445</v>
      </c>
      <c r="G356" s="56"/>
      <c r="H356" s="52" t="s">
        <v>243</v>
      </c>
      <c r="I356" s="52">
        <v>10</v>
      </c>
      <c r="J356" s="52">
        <v>751000000</v>
      </c>
      <c r="K356" s="63" t="s">
        <v>1437</v>
      </c>
      <c r="L356" s="52" t="s">
        <v>1503</v>
      </c>
      <c r="M356" s="63" t="s">
        <v>1437</v>
      </c>
      <c r="N356" s="52" t="s">
        <v>241</v>
      </c>
      <c r="O356" s="53" t="s">
        <v>1978</v>
      </c>
      <c r="P356" s="53" t="s">
        <v>1538</v>
      </c>
      <c r="Q356" s="52">
        <v>796</v>
      </c>
      <c r="R356" s="52" t="s">
        <v>1818</v>
      </c>
      <c r="S356" s="54">
        <v>120</v>
      </c>
      <c r="T356" s="54">
        <f t="shared" si="31"/>
        <v>99.013157894736835</v>
      </c>
      <c r="U356" s="54">
        <f t="shared" si="32"/>
        <v>12093.75</v>
      </c>
      <c r="V356" s="54">
        <v>13545</v>
      </c>
      <c r="W356" s="52"/>
      <c r="X356" s="52">
        <v>2012</v>
      </c>
      <c r="Y356" s="52"/>
    </row>
    <row r="357" spans="2:25" s="55" customFormat="1" ht="114.75" outlineLevel="1">
      <c r="B357" s="52" t="s">
        <v>1104</v>
      </c>
      <c r="C357" s="78" t="s">
        <v>246</v>
      </c>
      <c r="D357" s="128" t="s">
        <v>265</v>
      </c>
      <c r="E357" s="56" t="s">
        <v>140</v>
      </c>
      <c r="F357" s="57" t="s">
        <v>1446</v>
      </c>
      <c r="G357" s="57"/>
      <c r="H357" s="52" t="s">
        <v>243</v>
      </c>
      <c r="I357" s="52">
        <v>10</v>
      </c>
      <c r="J357" s="52">
        <v>751000000</v>
      </c>
      <c r="K357" s="63" t="s">
        <v>1437</v>
      </c>
      <c r="L357" s="52" t="s">
        <v>1503</v>
      </c>
      <c r="M357" s="63" t="s">
        <v>1437</v>
      </c>
      <c r="N357" s="52" t="s">
        <v>241</v>
      </c>
      <c r="O357" s="53" t="s">
        <v>1978</v>
      </c>
      <c r="P357" s="53" t="s">
        <v>1538</v>
      </c>
      <c r="Q357" s="52">
        <v>796</v>
      </c>
      <c r="R357" s="52" t="s">
        <v>1818</v>
      </c>
      <c r="S357" s="54">
        <v>120</v>
      </c>
      <c r="T357" s="54">
        <f t="shared" si="31"/>
        <v>84.868421052631575</v>
      </c>
      <c r="U357" s="54">
        <f t="shared" si="32"/>
        <v>10366.071428571429</v>
      </c>
      <c r="V357" s="54">
        <v>11610</v>
      </c>
      <c r="W357" s="52"/>
      <c r="X357" s="52">
        <v>2012</v>
      </c>
      <c r="Y357" s="52"/>
    </row>
    <row r="358" spans="2:25" s="55" customFormat="1" ht="114.75" outlineLevel="1">
      <c r="B358" s="52" t="s">
        <v>1105</v>
      </c>
      <c r="C358" s="78" t="s">
        <v>246</v>
      </c>
      <c r="D358" s="56" t="s">
        <v>265</v>
      </c>
      <c r="E358" s="56" t="s">
        <v>141</v>
      </c>
      <c r="F358" s="57" t="s">
        <v>1447</v>
      </c>
      <c r="G358" s="57"/>
      <c r="H358" s="52" t="s">
        <v>243</v>
      </c>
      <c r="I358" s="52">
        <v>10</v>
      </c>
      <c r="J358" s="52">
        <v>751000000</v>
      </c>
      <c r="K358" s="63" t="s">
        <v>1437</v>
      </c>
      <c r="L358" s="52" t="s">
        <v>1503</v>
      </c>
      <c r="M358" s="63" t="s">
        <v>1437</v>
      </c>
      <c r="N358" s="52" t="s">
        <v>241</v>
      </c>
      <c r="O358" s="53" t="s">
        <v>1978</v>
      </c>
      <c r="P358" s="53" t="s">
        <v>1538</v>
      </c>
      <c r="Q358" s="52">
        <v>796</v>
      </c>
      <c r="R358" s="52" t="s">
        <v>1818</v>
      </c>
      <c r="S358" s="54">
        <v>40</v>
      </c>
      <c r="T358" s="54">
        <f t="shared" si="31"/>
        <v>471.4912280701754</v>
      </c>
      <c r="U358" s="54">
        <f t="shared" si="32"/>
        <v>19196.428571428572</v>
      </c>
      <c r="V358" s="54">
        <v>21500</v>
      </c>
      <c r="W358" s="52"/>
      <c r="X358" s="52">
        <v>2012</v>
      </c>
      <c r="Y358" s="52"/>
    </row>
    <row r="359" spans="2:25" s="55" customFormat="1" ht="114.75" outlineLevel="1">
      <c r="B359" s="52" t="s">
        <v>1106</v>
      </c>
      <c r="C359" s="78" t="s">
        <v>246</v>
      </c>
      <c r="D359" s="56" t="s">
        <v>265</v>
      </c>
      <c r="E359" s="56" t="s">
        <v>142</v>
      </c>
      <c r="F359" s="53" t="s">
        <v>1448</v>
      </c>
      <c r="G359" s="53"/>
      <c r="H359" s="52" t="s">
        <v>243</v>
      </c>
      <c r="I359" s="52">
        <v>10</v>
      </c>
      <c r="J359" s="52">
        <v>751000000</v>
      </c>
      <c r="K359" s="63" t="s">
        <v>1437</v>
      </c>
      <c r="L359" s="52" t="s">
        <v>1503</v>
      </c>
      <c r="M359" s="63" t="s">
        <v>1437</v>
      </c>
      <c r="N359" s="52" t="s">
        <v>241</v>
      </c>
      <c r="O359" s="53" t="s">
        <v>1978</v>
      </c>
      <c r="P359" s="53" t="s">
        <v>1538</v>
      </c>
      <c r="Q359" s="52">
        <v>796</v>
      </c>
      <c r="R359" s="52" t="s">
        <v>1818</v>
      </c>
      <c r="S359" s="54">
        <v>80</v>
      </c>
      <c r="T359" s="54">
        <f t="shared" si="31"/>
        <v>113.15789473684211</v>
      </c>
      <c r="U359" s="54">
        <f t="shared" si="32"/>
        <v>9214.2857142857138</v>
      </c>
      <c r="V359" s="54">
        <v>10320</v>
      </c>
      <c r="W359" s="52"/>
      <c r="X359" s="52">
        <v>2012</v>
      </c>
      <c r="Y359" s="52"/>
    </row>
    <row r="360" spans="2:25" s="55" customFormat="1" ht="114.75" outlineLevel="1">
      <c r="B360" s="52" t="s">
        <v>1107</v>
      </c>
      <c r="C360" s="78" t="s">
        <v>246</v>
      </c>
      <c r="D360" s="128" t="s">
        <v>265</v>
      </c>
      <c r="E360" s="56" t="s">
        <v>143</v>
      </c>
      <c r="F360" s="56" t="s">
        <v>1449</v>
      </c>
      <c r="G360" s="56"/>
      <c r="H360" s="52" t="s">
        <v>243</v>
      </c>
      <c r="I360" s="52">
        <v>10</v>
      </c>
      <c r="J360" s="52">
        <v>751000000</v>
      </c>
      <c r="K360" s="63" t="s">
        <v>1437</v>
      </c>
      <c r="L360" s="52" t="s">
        <v>1503</v>
      </c>
      <c r="M360" s="63" t="s">
        <v>1437</v>
      </c>
      <c r="N360" s="52" t="s">
        <v>241</v>
      </c>
      <c r="O360" s="53" t="s">
        <v>1978</v>
      </c>
      <c r="P360" s="53" t="s">
        <v>1538</v>
      </c>
      <c r="Q360" s="52">
        <v>796</v>
      </c>
      <c r="R360" s="52" t="s">
        <v>1818</v>
      </c>
      <c r="S360" s="54">
        <v>80</v>
      </c>
      <c r="T360" s="54">
        <f t="shared" si="31"/>
        <v>84.868421052631575</v>
      </c>
      <c r="U360" s="54">
        <f t="shared" si="32"/>
        <v>6910.7142857142862</v>
      </c>
      <c r="V360" s="54">
        <v>7740</v>
      </c>
      <c r="W360" s="52"/>
      <c r="X360" s="52">
        <v>2012</v>
      </c>
      <c r="Y360" s="52"/>
    </row>
    <row r="361" spans="2:25" s="55" customFormat="1" ht="114.75" outlineLevel="1">
      <c r="B361" s="52" t="s">
        <v>1108</v>
      </c>
      <c r="C361" s="78" t="s">
        <v>246</v>
      </c>
      <c r="D361" s="128" t="s">
        <v>265</v>
      </c>
      <c r="E361" s="56" t="s">
        <v>144</v>
      </c>
      <c r="F361" s="56" t="s">
        <v>1450</v>
      </c>
      <c r="G361" s="56"/>
      <c r="H361" s="52" t="s">
        <v>243</v>
      </c>
      <c r="I361" s="52">
        <v>10</v>
      </c>
      <c r="J361" s="52">
        <v>751000000</v>
      </c>
      <c r="K361" s="63" t="s">
        <v>1437</v>
      </c>
      <c r="L361" s="52" t="s">
        <v>1503</v>
      </c>
      <c r="M361" s="63" t="s">
        <v>1437</v>
      </c>
      <c r="N361" s="52" t="s">
        <v>241</v>
      </c>
      <c r="O361" s="53" t="s">
        <v>1978</v>
      </c>
      <c r="P361" s="53" t="s">
        <v>1538</v>
      </c>
      <c r="Q361" s="52">
        <v>796</v>
      </c>
      <c r="R361" s="52" t="s">
        <v>1818</v>
      </c>
      <c r="S361" s="54">
        <v>80</v>
      </c>
      <c r="T361" s="54">
        <f t="shared" si="31"/>
        <v>47.149122807017548</v>
      </c>
      <c r="U361" s="54">
        <f t="shared" si="32"/>
        <v>3839.2857142857147</v>
      </c>
      <c r="V361" s="54">
        <v>4300</v>
      </c>
      <c r="W361" s="52"/>
      <c r="X361" s="52">
        <v>2012</v>
      </c>
      <c r="Y361" s="52"/>
    </row>
    <row r="362" spans="2:25" s="55" customFormat="1" ht="114.75" outlineLevel="1">
      <c r="B362" s="52" t="s">
        <v>1109</v>
      </c>
      <c r="C362" s="78" t="s">
        <v>246</v>
      </c>
      <c r="D362" s="128" t="s">
        <v>265</v>
      </c>
      <c r="E362" s="56" t="s">
        <v>145</v>
      </c>
      <c r="F362" s="56" t="s">
        <v>1451</v>
      </c>
      <c r="G362" s="56"/>
      <c r="H362" s="52" t="s">
        <v>243</v>
      </c>
      <c r="I362" s="52">
        <v>10</v>
      </c>
      <c r="J362" s="52">
        <v>751000000</v>
      </c>
      <c r="K362" s="63" t="s">
        <v>1437</v>
      </c>
      <c r="L362" s="52" t="s">
        <v>1503</v>
      </c>
      <c r="M362" s="63" t="s">
        <v>1437</v>
      </c>
      <c r="N362" s="52" t="s">
        <v>241</v>
      </c>
      <c r="O362" s="53" t="s">
        <v>1978</v>
      </c>
      <c r="P362" s="53" t="s">
        <v>1538</v>
      </c>
      <c r="Q362" s="52">
        <v>796</v>
      </c>
      <c r="R362" s="52" t="s">
        <v>1818</v>
      </c>
      <c r="S362" s="54">
        <v>40</v>
      </c>
      <c r="T362" s="54">
        <f t="shared" si="31"/>
        <v>264.03508771929825</v>
      </c>
      <c r="U362" s="54">
        <f t="shared" si="32"/>
        <v>10750</v>
      </c>
      <c r="V362" s="54">
        <v>12040</v>
      </c>
      <c r="W362" s="52"/>
      <c r="X362" s="52">
        <v>2012</v>
      </c>
      <c r="Y362" s="52"/>
    </row>
    <row r="363" spans="2:25" s="55" customFormat="1" ht="114.75" outlineLevel="1">
      <c r="B363" s="52" t="s">
        <v>1110</v>
      </c>
      <c r="C363" s="78" t="s">
        <v>246</v>
      </c>
      <c r="D363" s="128" t="s">
        <v>265</v>
      </c>
      <c r="E363" s="56" t="s">
        <v>146</v>
      </c>
      <c r="F363" s="57" t="s">
        <v>1452</v>
      </c>
      <c r="G363" s="57"/>
      <c r="H363" s="52" t="s">
        <v>243</v>
      </c>
      <c r="I363" s="52">
        <v>10</v>
      </c>
      <c r="J363" s="52">
        <v>751000000</v>
      </c>
      <c r="K363" s="63" t="s">
        <v>1437</v>
      </c>
      <c r="L363" s="52" t="s">
        <v>1503</v>
      </c>
      <c r="M363" s="63" t="s">
        <v>1437</v>
      </c>
      <c r="N363" s="52" t="s">
        <v>241</v>
      </c>
      <c r="O363" s="53" t="s">
        <v>1978</v>
      </c>
      <c r="P363" s="53" t="s">
        <v>1538</v>
      </c>
      <c r="Q363" s="52">
        <v>796</v>
      </c>
      <c r="R363" s="52" t="s">
        <v>1818</v>
      </c>
      <c r="S363" s="54">
        <v>4</v>
      </c>
      <c r="T363" s="54">
        <f t="shared" si="31"/>
        <v>2357.4561403508769</v>
      </c>
      <c r="U363" s="54">
        <f t="shared" si="32"/>
        <v>9598.2142857142862</v>
      </c>
      <c r="V363" s="54">
        <v>10750</v>
      </c>
      <c r="W363" s="52"/>
      <c r="X363" s="52">
        <v>2012</v>
      </c>
      <c r="Y363" s="52"/>
    </row>
    <row r="364" spans="2:25" s="55" customFormat="1" ht="114.75" outlineLevel="1">
      <c r="B364" s="52" t="s">
        <v>1111</v>
      </c>
      <c r="C364" s="78" t="s">
        <v>246</v>
      </c>
      <c r="D364" s="128" t="s">
        <v>265</v>
      </c>
      <c r="E364" s="56" t="s">
        <v>147</v>
      </c>
      <c r="F364" s="53" t="s">
        <v>1454</v>
      </c>
      <c r="G364" s="53"/>
      <c r="H364" s="52" t="s">
        <v>243</v>
      </c>
      <c r="I364" s="52">
        <v>10</v>
      </c>
      <c r="J364" s="52">
        <v>751000000</v>
      </c>
      <c r="K364" s="63" t="s">
        <v>1437</v>
      </c>
      <c r="L364" s="52" t="s">
        <v>1503</v>
      </c>
      <c r="M364" s="63" t="s">
        <v>1437</v>
      </c>
      <c r="N364" s="52" t="s">
        <v>241</v>
      </c>
      <c r="O364" s="53" t="s">
        <v>1978</v>
      </c>
      <c r="P364" s="53" t="s">
        <v>1538</v>
      </c>
      <c r="Q364" s="52">
        <v>796</v>
      </c>
      <c r="R364" s="52" t="s">
        <v>1818</v>
      </c>
      <c r="S364" s="54">
        <v>480</v>
      </c>
      <c r="T364" s="54">
        <f t="shared" si="31"/>
        <v>28.289473684210524</v>
      </c>
      <c r="U364" s="54">
        <f t="shared" si="32"/>
        <v>13821.428571428572</v>
      </c>
      <c r="V364" s="54">
        <v>15480</v>
      </c>
      <c r="W364" s="52"/>
      <c r="X364" s="52">
        <v>2012</v>
      </c>
      <c r="Y364" s="52"/>
    </row>
    <row r="365" spans="2:25" s="55" customFormat="1" ht="114.75" outlineLevel="1">
      <c r="B365" s="52" t="s">
        <v>1112</v>
      </c>
      <c r="C365" s="78" t="s">
        <v>246</v>
      </c>
      <c r="D365" s="128" t="s">
        <v>265</v>
      </c>
      <c r="E365" s="56" t="s">
        <v>148</v>
      </c>
      <c r="F365" s="57" t="s">
        <v>148</v>
      </c>
      <c r="G365" s="57"/>
      <c r="H365" s="52" t="s">
        <v>243</v>
      </c>
      <c r="I365" s="52">
        <v>10</v>
      </c>
      <c r="J365" s="52">
        <v>751000000</v>
      </c>
      <c r="K365" s="63" t="s">
        <v>1437</v>
      </c>
      <c r="L365" s="52" t="s">
        <v>1503</v>
      </c>
      <c r="M365" s="63" t="s">
        <v>1437</v>
      </c>
      <c r="N365" s="52" t="s">
        <v>241</v>
      </c>
      <c r="O365" s="53" t="s">
        <v>1978</v>
      </c>
      <c r="P365" s="53" t="s">
        <v>1538</v>
      </c>
      <c r="Q365" s="52">
        <v>796</v>
      </c>
      <c r="R365" s="52" t="s">
        <v>1818</v>
      </c>
      <c r="S365" s="54">
        <v>20</v>
      </c>
      <c r="T365" s="54">
        <f t="shared" si="31"/>
        <v>631.79824561403507</v>
      </c>
      <c r="U365" s="54">
        <f t="shared" si="32"/>
        <v>12861.607142857141</v>
      </c>
      <c r="V365" s="54">
        <v>14405</v>
      </c>
      <c r="W365" s="52"/>
      <c r="X365" s="52">
        <v>2012</v>
      </c>
      <c r="Y365" s="52"/>
    </row>
    <row r="366" spans="2:25" s="55" customFormat="1" ht="114.75" outlineLevel="1">
      <c r="B366" s="52" t="s">
        <v>1113</v>
      </c>
      <c r="C366" s="78" t="s">
        <v>246</v>
      </c>
      <c r="D366" s="128" t="s">
        <v>265</v>
      </c>
      <c r="E366" s="56" t="s">
        <v>149</v>
      </c>
      <c r="F366" s="57" t="s">
        <v>1453</v>
      </c>
      <c r="G366" s="57"/>
      <c r="H366" s="52" t="s">
        <v>243</v>
      </c>
      <c r="I366" s="52">
        <v>10</v>
      </c>
      <c r="J366" s="52">
        <v>751000000</v>
      </c>
      <c r="K366" s="63" t="s">
        <v>1437</v>
      </c>
      <c r="L366" s="52" t="s">
        <v>1503</v>
      </c>
      <c r="M366" s="63" t="s">
        <v>1437</v>
      </c>
      <c r="N366" s="52" t="s">
        <v>241</v>
      </c>
      <c r="O366" s="53" t="s">
        <v>1978</v>
      </c>
      <c r="P366" s="53" t="s">
        <v>1538</v>
      </c>
      <c r="Q366" s="52">
        <v>796</v>
      </c>
      <c r="R366" s="52" t="s">
        <v>1818</v>
      </c>
      <c r="S366" s="54">
        <v>240</v>
      </c>
      <c r="T366" s="54">
        <f t="shared" si="31"/>
        <v>28.289473684210524</v>
      </c>
      <c r="U366" s="54">
        <f t="shared" si="32"/>
        <v>6910.7142857142862</v>
      </c>
      <c r="V366" s="54">
        <v>7740</v>
      </c>
      <c r="W366" s="52"/>
      <c r="X366" s="52">
        <v>2012</v>
      </c>
      <c r="Y366" s="52"/>
    </row>
    <row r="367" spans="2:25" s="55" customFormat="1" ht="165.75" outlineLevel="1">
      <c r="B367" s="52" t="s">
        <v>1114</v>
      </c>
      <c r="C367" s="78" t="s">
        <v>246</v>
      </c>
      <c r="D367" s="77">
        <v>27015</v>
      </c>
      <c r="E367" s="56" t="s">
        <v>2325</v>
      </c>
      <c r="F367" s="56" t="s">
        <v>2324</v>
      </c>
      <c r="G367" s="56"/>
      <c r="H367" s="52" t="s">
        <v>243</v>
      </c>
      <c r="I367" s="52">
        <v>10</v>
      </c>
      <c r="J367" s="52">
        <v>711000000</v>
      </c>
      <c r="K367" s="53" t="s">
        <v>1622</v>
      </c>
      <c r="L367" s="52" t="s">
        <v>1503</v>
      </c>
      <c r="M367" s="53" t="s">
        <v>1816</v>
      </c>
      <c r="N367" s="52" t="s">
        <v>241</v>
      </c>
      <c r="O367" s="53" t="s">
        <v>1978</v>
      </c>
      <c r="P367" s="53" t="s">
        <v>1538</v>
      </c>
      <c r="Q367" s="52">
        <v>5111</v>
      </c>
      <c r="R367" s="52" t="s">
        <v>1434</v>
      </c>
      <c r="S367" s="54">
        <v>552</v>
      </c>
      <c r="T367" s="54">
        <f>V367/114*100/S367</f>
        <v>565.78947368421052</v>
      </c>
      <c r="U367" s="54">
        <f t="shared" si="32"/>
        <v>317892.85714285716</v>
      </c>
      <c r="V367" s="54">
        <v>356040</v>
      </c>
      <c r="W367" s="52"/>
      <c r="X367" s="52">
        <v>2012</v>
      </c>
      <c r="Y367" s="52"/>
    </row>
    <row r="368" spans="2:25" s="55" customFormat="1" ht="114.75" outlineLevel="1">
      <c r="B368" s="52" t="s">
        <v>1115</v>
      </c>
      <c r="C368" s="78" t="s">
        <v>246</v>
      </c>
      <c r="D368" s="56" t="s">
        <v>263</v>
      </c>
      <c r="E368" s="56" t="s">
        <v>130</v>
      </c>
      <c r="F368" s="56" t="s">
        <v>1438</v>
      </c>
      <c r="G368" s="56"/>
      <c r="H368" s="52" t="s">
        <v>243</v>
      </c>
      <c r="I368" s="52">
        <v>10</v>
      </c>
      <c r="J368" s="52">
        <v>711000000</v>
      </c>
      <c r="K368" s="53" t="s">
        <v>1622</v>
      </c>
      <c r="L368" s="52" t="s">
        <v>1503</v>
      </c>
      <c r="M368" s="53" t="s">
        <v>1816</v>
      </c>
      <c r="N368" s="52" t="s">
        <v>241</v>
      </c>
      <c r="O368" s="53" t="s">
        <v>1978</v>
      </c>
      <c r="P368" s="53" t="s">
        <v>1538</v>
      </c>
      <c r="Q368" s="52">
        <v>736</v>
      </c>
      <c r="R368" s="52" t="s">
        <v>1435</v>
      </c>
      <c r="S368" s="54">
        <v>46</v>
      </c>
      <c r="T368" s="54">
        <f>V368/114*100/S368</f>
        <v>216.88596491228071</v>
      </c>
      <c r="U368" s="54">
        <f t="shared" si="32"/>
        <v>10154.910714285714</v>
      </c>
      <c r="V368" s="54">
        <v>11373.5</v>
      </c>
      <c r="W368" s="52"/>
      <c r="X368" s="52">
        <v>2012</v>
      </c>
      <c r="Y368" s="52"/>
    </row>
    <row r="369" spans="2:25" s="55" customFormat="1" ht="114.75" outlineLevel="1">
      <c r="B369" s="52" t="s">
        <v>1116</v>
      </c>
      <c r="C369" s="78" t="s">
        <v>246</v>
      </c>
      <c r="D369" s="128" t="s">
        <v>265</v>
      </c>
      <c r="E369" s="56" t="s">
        <v>131</v>
      </c>
      <c r="F369" s="53" t="s">
        <v>1456</v>
      </c>
      <c r="G369" s="53"/>
      <c r="H369" s="52" t="s">
        <v>243</v>
      </c>
      <c r="I369" s="52">
        <v>10</v>
      </c>
      <c r="J369" s="52">
        <v>711000000</v>
      </c>
      <c r="K369" s="53" t="s">
        <v>1622</v>
      </c>
      <c r="L369" s="52" t="s">
        <v>1503</v>
      </c>
      <c r="M369" s="53" t="s">
        <v>1816</v>
      </c>
      <c r="N369" s="52" t="s">
        <v>241</v>
      </c>
      <c r="O369" s="53" t="s">
        <v>1978</v>
      </c>
      <c r="P369" s="53" t="s">
        <v>1538</v>
      </c>
      <c r="Q369" s="52">
        <v>796</v>
      </c>
      <c r="R369" s="52" t="s">
        <v>1818</v>
      </c>
      <c r="S369" s="54">
        <v>92</v>
      </c>
      <c r="T369" s="54">
        <f>V369/114*100/S369</f>
        <v>103.7280701754386</v>
      </c>
      <c r="U369" s="54">
        <f t="shared" si="32"/>
        <v>9713.3928571428569</v>
      </c>
      <c r="V369" s="54">
        <v>10879</v>
      </c>
      <c r="W369" s="52"/>
      <c r="X369" s="52">
        <v>2012</v>
      </c>
      <c r="Y369" s="52"/>
    </row>
    <row r="370" spans="2:25" s="55" customFormat="1" ht="114.75" outlineLevel="1">
      <c r="B370" s="52" t="s">
        <v>1117</v>
      </c>
      <c r="C370" s="78" t="s">
        <v>246</v>
      </c>
      <c r="D370" s="128" t="s">
        <v>265</v>
      </c>
      <c r="E370" s="56" t="s">
        <v>132</v>
      </c>
      <c r="F370" s="56" t="s">
        <v>1439</v>
      </c>
      <c r="G370" s="56"/>
      <c r="H370" s="52" t="s">
        <v>243</v>
      </c>
      <c r="I370" s="52">
        <v>10</v>
      </c>
      <c r="J370" s="52">
        <v>711000000</v>
      </c>
      <c r="K370" s="53" t="s">
        <v>1622</v>
      </c>
      <c r="L370" s="52" t="s">
        <v>1503</v>
      </c>
      <c r="M370" s="53" t="s">
        <v>1816</v>
      </c>
      <c r="N370" s="52" t="s">
        <v>241</v>
      </c>
      <c r="O370" s="53" t="s">
        <v>1978</v>
      </c>
      <c r="P370" s="53" t="s">
        <v>1538</v>
      </c>
      <c r="Q370" s="52">
        <v>796</v>
      </c>
      <c r="R370" s="52" t="s">
        <v>1818</v>
      </c>
      <c r="S370" s="54">
        <v>92</v>
      </c>
      <c r="T370" s="54">
        <f t="shared" ref="T370:T430" si="33">V370/114*100/S370</f>
        <v>141.44736842105263</v>
      </c>
      <c r="U370" s="54">
        <f>V370/112*100</f>
        <v>13245.535714285714</v>
      </c>
      <c r="V370" s="54">
        <v>14835</v>
      </c>
      <c r="W370" s="52"/>
      <c r="X370" s="52">
        <v>2012</v>
      </c>
      <c r="Y370" s="52"/>
    </row>
    <row r="371" spans="2:25" s="55" customFormat="1" ht="114.75" outlineLevel="1">
      <c r="B371" s="52" t="s">
        <v>1118</v>
      </c>
      <c r="C371" s="78" t="s">
        <v>246</v>
      </c>
      <c r="D371" s="128" t="s">
        <v>265</v>
      </c>
      <c r="E371" s="56" t="s">
        <v>133</v>
      </c>
      <c r="F371" s="56" t="s">
        <v>1440</v>
      </c>
      <c r="G371" s="56"/>
      <c r="H371" s="52" t="s">
        <v>243</v>
      </c>
      <c r="I371" s="52">
        <v>10</v>
      </c>
      <c r="J371" s="52">
        <v>711000000</v>
      </c>
      <c r="K371" s="53" t="s">
        <v>1622</v>
      </c>
      <c r="L371" s="52" t="s">
        <v>1503</v>
      </c>
      <c r="M371" s="53" t="s">
        <v>1816</v>
      </c>
      <c r="N371" s="52" t="s">
        <v>241</v>
      </c>
      <c r="O371" s="53" t="s">
        <v>1978</v>
      </c>
      <c r="P371" s="53" t="s">
        <v>1538</v>
      </c>
      <c r="Q371" s="52">
        <v>796</v>
      </c>
      <c r="R371" s="52" t="s">
        <v>1818</v>
      </c>
      <c r="S371" s="54">
        <v>92</v>
      </c>
      <c r="T371" s="54">
        <f t="shared" si="33"/>
        <v>89.583333333333343</v>
      </c>
      <c r="U371" s="54">
        <f>V371/112*100</f>
        <v>8388.8392857142862</v>
      </c>
      <c r="V371" s="54">
        <v>9395.5</v>
      </c>
      <c r="W371" s="52"/>
      <c r="X371" s="52">
        <v>2012</v>
      </c>
      <c r="Y371" s="52"/>
    </row>
    <row r="372" spans="2:25" s="55" customFormat="1" ht="114.75" outlineLevel="1">
      <c r="B372" s="52" t="s">
        <v>1119</v>
      </c>
      <c r="C372" s="78" t="s">
        <v>246</v>
      </c>
      <c r="D372" s="128" t="s">
        <v>265</v>
      </c>
      <c r="E372" s="56" t="s">
        <v>134</v>
      </c>
      <c r="F372" s="53" t="s">
        <v>1455</v>
      </c>
      <c r="G372" s="53"/>
      <c r="H372" s="52" t="s">
        <v>243</v>
      </c>
      <c r="I372" s="52">
        <v>10</v>
      </c>
      <c r="J372" s="52">
        <v>711000000</v>
      </c>
      <c r="K372" s="53" t="s">
        <v>1622</v>
      </c>
      <c r="L372" s="52" t="s">
        <v>1503</v>
      </c>
      <c r="M372" s="53" t="s">
        <v>1816</v>
      </c>
      <c r="N372" s="52" t="s">
        <v>241</v>
      </c>
      <c r="O372" s="53" t="s">
        <v>1978</v>
      </c>
      <c r="P372" s="53" t="s">
        <v>1538</v>
      </c>
      <c r="Q372" s="52">
        <v>704</v>
      </c>
      <c r="R372" s="52" t="s">
        <v>1436</v>
      </c>
      <c r="S372" s="54">
        <v>23</v>
      </c>
      <c r="T372" s="54">
        <f t="shared" si="33"/>
        <v>1131.578947368421</v>
      </c>
      <c r="U372" s="54">
        <f>V372/112*100</f>
        <v>26491.071428571428</v>
      </c>
      <c r="V372" s="54">
        <v>29670</v>
      </c>
      <c r="W372" s="52"/>
      <c r="X372" s="52">
        <v>2012</v>
      </c>
      <c r="Y372" s="52"/>
    </row>
    <row r="373" spans="2:25" s="55" customFormat="1" ht="114.75" outlineLevel="1">
      <c r="B373" s="52" t="s">
        <v>1647</v>
      </c>
      <c r="C373" s="78" t="s">
        <v>246</v>
      </c>
      <c r="D373" s="128" t="s">
        <v>265</v>
      </c>
      <c r="E373" s="56" t="s">
        <v>135</v>
      </c>
      <c r="F373" s="56" t="s">
        <v>1441</v>
      </c>
      <c r="G373" s="56"/>
      <c r="H373" s="52" t="s">
        <v>243</v>
      </c>
      <c r="I373" s="52">
        <v>10</v>
      </c>
      <c r="J373" s="52">
        <v>711000000</v>
      </c>
      <c r="K373" s="53" t="s">
        <v>1622</v>
      </c>
      <c r="L373" s="52" t="s">
        <v>1503</v>
      </c>
      <c r="M373" s="53" t="s">
        <v>1816</v>
      </c>
      <c r="N373" s="52" t="s">
        <v>241</v>
      </c>
      <c r="O373" s="53" t="s">
        <v>1978</v>
      </c>
      <c r="P373" s="53" t="s">
        <v>1538</v>
      </c>
      <c r="Q373" s="52">
        <v>796</v>
      </c>
      <c r="R373" s="52" t="s">
        <v>1818</v>
      </c>
      <c r="S373" s="54">
        <v>552</v>
      </c>
      <c r="T373" s="54">
        <f t="shared" si="33"/>
        <v>9.4298245614035086</v>
      </c>
      <c r="U373" s="54">
        <f>V373/112*100</f>
        <v>5298.2142857142853</v>
      </c>
      <c r="V373" s="54">
        <v>5934</v>
      </c>
      <c r="W373" s="52"/>
      <c r="X373" s="52">
        <v>2012</v>
      </c>
      <c r="Y373" s="52"/>
    </row>
    <row r="374" spans="2:25" s="55" customFormat="1" ht="114.75" outlineLevel="1">
      <c r="B374" s="52" t="s">
        <v>1120</v>
      </c>
      <c r="C374" s="78" t="s">
        <v>246</v>
      </c>
      <c r="D374" s="128" t="s">
        <v>268</v>
      </c>
      <c r="E374" s="56" t="s">
        <v>136</v>
      </c>
      <c r="F374" s="56" t="s">
        <v>1442</v>
      </c>
      <c r="G374" s="56"/>
      <c r="H374" s="52" t="s">
        <v>243</v>
      </c>
      <c r="I374" s="52">
        <v>10</v>
      </c>
      <c r="J374" s="52">
        <v>711000000</v>
      </c>
      <c r="K374" s="53" t="s">
        <v>1622</v>
      </c>
      <c r="L374" s="52" t="s">
        <v>1503</v>
      </c>
      <c r="M374" s="53" t="s">
        <v>1816</v>
      </c>
      <c r="N374" s="52" t="s">
        <v>241</v>
      </c>
      <c r="O374" s="53" t="s">
        <v>1978</v>
      </c>
      <c r="P374" s="53" t="s">
        <v>1538</v>
      </c>
      <c r="Q374" s="52">
        <v>796</v>
      </c>
      <c r="R374" s="52" t="s">
        <v>1818</v>
      </c>
      <c r="S374" s="54">
        <v>138</v>
      </c>
      <c r="T374" s="54">
        <f t="shared" si="33"/>
        <v>424.34210526315792</v>
      </c>
      <c r="U374" s="54">
        <f t="shared" ref="U374:U437" si="34">V374/112*100</f>
        <v>59604.91071428571</v>
      </c>
      <c r="V374" s="54">
        <v>66757.5</v>
      </c>
      <c r="W374" s="52"/>
      <c r="X374" s="52">
        <v>2012</v>
      </c>
      <c r="Y374" s="52"/>
    </row>
    <row r="375" spans="2:25" s="55" customFormat="1" ht="114.75" outlineLevel="1">
      <c r="B375" s="52" t="s">
        <v>1121</v>
      </c>
      <c r="C375" s="78" t="s">
        <v>246</v>
      </c>
      <c r="D375" s="128" t="s">
        <v>265</v>
      </c>
      <c r="E375" s="56" t="s">
        <v>137</v>
      </c>
      <c r="F375" s="56" t="s">
        <v>1443</v>
      </c>
      <c r="G375" s="56"/>
      <c r="H375" s="52" t="s">
        <v>243</v>
      </c>
      <c r="I375" s="52">
        <v>10</v>
      </c>
      <c r="J375" s="52">
        <v>711000000</v>
      </c>
      <c r="K375" s="53" t="s">
        <v>1622</v>
      </c>
      <c r="L375" s="52" t="s">
        <v>1503</v>
      </c>
      <c r="M375" s="53" t="s">
        <v>1816</v>
      </c>
      <c r="N375" s="52" t="s">
        <v>241</v>
      </c>
      <c r="O375" s="53" t="s">
        <v>1978</v>
      </c>
      <c r="P375" s="53" t="s">
        <v>1538</v>
      </c>
      <c r="Q375" s="52">
        <v>796</v>
      </c>
      <c r="R375" s="52" t="s">
        <v>1818</v>
      </c>
      <c r="S375" s="54">
        <v>138</v>
      </c>
      <c r="T375" s="54">
        <f t="shared" si="33"/>
        <v>179.16666666666666</v>
      </c>
      <c r="U375" s="54">
        <f t="shared" si="34"/>
        <v>25166.517857142859</v>
      </c>
      <c r="V375" s="54">
        <v>28186.5</v>
      </c>
      <c r="W375" s="52"/>
      <c r="X375" s="52">
        <v>2012</v>
      </c>
      <c r="Y375" s="52"/>
    </row>
    <row r="376" spans="2:25" s="55" customFormat="1" ht="114.75" outlineLevel="1">
      <c r="B376" s="52" t="s">
        <v>1122</v>
      </c>
      <c r="C376" s="78" t="s">
        <v>246</v>
      </c>
      <c r="D376" s="128" t="s">
        <v>265</v>
      </c>
      <c r="E376" s="56" t="s">
        <v>138</v>
      </c>
      <c r="F376" s="56" t="s">
        <v>1444</v>
      </c>
      <c r="G376" s="56"/>
      <c r="H376" s="52" t="s">
        <v>243</v>
      </c>
      <c r="I376" s="52">
        <v>10</v>
      </c>
      <c r="J376" s="52">
        <v>711000000</v>
      </c>
      <c r="K376" s="53" t="s">
        <v>1622</v>
      </c>
      <c r="L376" s="52" t="s">
        <v>1503</v>
      </c>
      <c r="M376" s="53" t="s">
        <v>1816</v>
      </c>
      <c r="N376" s="52" t="s">
        <v>241</v>
      </c>
      <c r="O376" s="53" t="s">
        <v>1978</v>
      </c>
      <c r="P376" s="53" t="s">
        <v>1538</v>
      </c>
      <c r="Q376" s="52">
        <v>796</v>
      </c>
      <c r="R376" s="52" t="s">
        <v>1818</v>
      </c>
      <c r="S376" s="54">
        <v>23</v>
      </c>
      <c r="T376" s="54">
        <f t="shared" si="33"/>
        <v>141.44736842105263</v>
      </c>
      <c r="U376" s="54">
        <f t="shared" si="34"/>
        <v>3311.3839285714284</v>
      </c>
      <c r="V376" s="54">
        <v>3708.75</v>
      </c>
      <c r="W376" s="52"/>
      <c r="X376" s="52">
        <v>2012</v>
      </c>
      <c r="Y376" s="52"/>
    </row>
    <row r="377" spans="2:25" s="55" customFormat="1" ht="114.75" outlineLevel="1">
      <c r="B377" s="52" t="s">
        <v>1123</v>
      </c>
      <c r="C377" s="78" t="s">
        <v>246</v>
      </c>
      <c r="D377" s="128" t="s">
        <v>265</v>
      </c>
      <c r="E377" s="56" t="s">
        <v>139</v>
      </c>
      <c r="F377" s="56" t="s">
        <v>1445</v>
      </c>
      <c r="G377" s="56"/>
      <c r="H377" s="52" t="s">
        <v>243</v>
      </c>
      <c r="I377" s="52">
        <v>10</v>
      </c>
      <c r="J377" s="52">
        <v>711000000</v>
      </c>
      <c r="K377" s="53" t="s">
        <v>1622</v>
      </c>
      <c r="L377" s="52" t="s">
        <v>1503</v>
      </c>
      <c r="M377" s="53" t="s">
        <v>1816</v>
      </c>
      <c r="N377" s="52" t="s">
        <v>241</v>
      </c>
      <c r="O377" s="53" t="s">
        <v>1978</v>
      </c>
      <c r="P377" s="53" t="s">
        <v>1538</v>
      </c>
      <c r="Q377" s="52">
        <v>796</v>
      </c>
      <c r="R377" s="52" t="s">
        <v>1818</v>
      </c>
      <c r="S377" s="54">
        <v>138</v>
      </c>
      <c r="T377" s="54">
        <f t="shared" si="33"/>
        <v>99.01315789473685</v>
      </c>
      <c r="U377" s="54">
        <f t="shared" si="34"/>
        <v>13907.8125</v>
      </c>
      <c r="V377" s="54">
        <v>15576.75</v>
      </c>
      <c r="W377" s="52"/>
      <c r="X377" s="52">
        <v>2012</v>
      </c>
      <c r="Y377" s="52"/>
    </row>
    <row r="378" spans="2:25" s="55" customFormat="1" ht="114.75" outlineLevel="1">
      <c r="B378" s="52" t="s">
        <v>1124</v>
      </c>
      <c r="C378" s="78" t="s">
        <v>246</v>
      </c>
      <c r="D378" s="128" t="s">
        <v>265</v>
      </c>
      <c r="E378" s="56" t="s">
        <v>140</v>
      </c>
      <c r="F378" s="57" t="s">
        <v>1446</v>
      </c>
      <c r="G378" s="57"/>
      <c r="H378" s="52" t="s">
        <v>243</v>
      </c>
      <c r="I378" s="52">
        <v>10</v>
      </c>
      <c r="J378" s="52">
        <v>711000000</v>
      </c>
      <c r="K378" s="53" t="s">
        <v>1622</v>
      </c>
      <c r="L378" s="52" t="s">
        <v>1503</v>
      </c>
      <c r="M378" s="53" t="s">
        <v>1816</v>
      </c>
      <c r="N378" s="52" t="s">
        <v>241</v>
      </c>
      <c r="O378" s="53" t="s">
        <v>1978</v>
      </c>
      <c r="P378" s="53" t="s">
        <v>1538</v>
      </c>
      <c r="Q378" s="52">
        <v>796</v>
      </c>
      <c r="R378" s="52" t="s">
        <v>1818</v>
      </c>
      <c r="S378" s="54">
        <v>138</v>
      </c>
      <c r="T378" s="54">
        <f t="shared" si="33"/>
        <v>84.868421052631589</v>
      </c>
      <c r="U378" s="54">
        <f t="shared" si="34"/>
        <v>11920.982142857143</v>
      </c>
      <c r="V378" s="54">
        <v>13351.5</v>
      </c>
      <c r="W378" s="52"/>
      <c r="X378" s="52">
        <v>2012</v>
      </c>
      <c r="Y378" s="52"/>
    </row>
    <row r="379" spans="2:25" s="55" customFormat="1" ht="114.75" outlineLevel="1">
      <c r="B379" s="52" t="s">
        <v>1125</v>
      </c>
      <c r="C379" s="78" t="s">
        <v>246</v>
      </c>
      <c r="D379" s="56" t="s">
        <v>265</v>
      </c>
      <c r="E379" s="56" t="s">
        <v>141</v>
      </c>
      <c r="F379" s="57" t="s">
        <v>1447</v>
      </c>
      <c r="G379" s="57"/>
      <c r="H379" s="52" t="s">
        <v>243</v>
      </c>
      <c r="I379" s="52">
        <v>10</v>
      </c>
      <c r="J379" s="52">
        <v>711000000</v>
      </c>
      <c r="K379" s="53" t="s">
        <v>1622</v>
      </c>
      <c r="L379" s="52" t="s">
        <v>1503</v>
      </c>
      <c r="M379" s="53" t="s">
        <v>1816</v>
      </c>
      <c r="N379" s="52" t="s">
        <v>241</v>
      </c>
      <c r="O379" s="53" t="s">
        <v>1978</v>
      </c>
      <c r="P379" s="53" t="s">
        <v>1538</v>
      </c>
      <c r="Q379" s="52">
        <v>796</v>
      </c>
      <c r="R379" s="52" t="s">
        <v>1818</v>
      </c>
      <c r="S379" s="54">
        <v>46</v>
      </c>
      <c r="T379" s="54">
        <f t="shared" si="33"/>
        <v>471.49122807017551</v>
      </c>
      <c r="U379" s="54">
        <f t="shared" si="34"/>
        <v>22075.892857142859</v>
      </c>
      <c r="V379" s="54">
        <v>24725</v>
      </c>
      <c r="W379" s="52"/>
      <c r="X379" s="52">
        <v>2012</v>
      </c>
      <c r="Y379" s="52"/>
    </row>
    <row r="380" spans="2:25" s="55" customFormat="1" ht="114.75" outlineLevel="1">
      <c r="B380" s="52" t="s">
        <v>1126</v>
      </c>
      <c r="C380" s="78" t="s">
        <v>246</v>
      </c>
      <c r="D380" s="56" t="s">
        <v>265</v>
      </c>
      <c r="E380" s="56" t="s">
        <v>142</v>
      </c>
      <c r="F380" s="53" t="s">
        <v>1448</v>
      </c>
      <c r="G380" s="53"/>
      <c r="H380" s="52" t="s">
        <v>243</v>
      </c>
      <c r="I380" s="52">
        <v>10</v>
      </c>
      <c r="J380" s="52">
        <v>711000000</v>
      </c>
      <c r="K380" s="53" t="s">
        <v>1622</v>
      </c>
      <c r="L380" s="52" t="s">
        <v>1503</v>
      </c>
      <c r="M380" s="53" t="s">
        <v>1816</v>
      </c>
      <c r="N380" s="52" t="s">
        <v>241</v>
      </c>
      <c r="O380" s="53" t="s">
        <v>1978</v>
      </c>
      <c r="P380" s="53" t="s">
        <v>1538</v>
      </c>
      <c r="Q380" s="52">
        <v>796</v>
      </c>
      <c r="R380" s="52" t="s">
        <v>1818</v>
      </c>
      <c r="S380" s="54">
        <v>92</v>
      </c>
      <c r="T380" s="54">
        <f t="shared" si="33"/>
        <v>113.1578947368421</v>
      </c>
      <c r="U380" s="54">
        <f t="shared" si="34"/>
        <v>10596.428571428571</v>
      </c>
      <c r="V380" s="54">
        <v>11868</v>
      </c>
      <c r="W380" s="52"/>
      <c r="X380" s="52">
        <v>2012</v>
      </c>
      <c r="Y380" s="52"/>
    </row>
    <row r="381" spans="2:25" s="55" customFormat="1" ht="114.75" outlineLevel="1">
      <c r="B381" s="52" t="s">
        <v>1127</v>
      </c>
      <c r="C381" s="78" t="s">
        <v>246</v>
      </c>
      <c r="D381" s="128" t="s">
        <v>265</v>
      </c>
      <c r="E381" s="56" t="s">
        <v>143</v>
      </c>
      <c r="F381" s="56" t="s">
        <v>1449</v>
      </c>
      <c r="G381" s="56"/>
      <c r="H381" s="52" t="s">
        <v>243</v>
      </c>
      <c r="I381" s="52">
        <v>10</v>
      </c>
      <c r="J381" s="52">
        <v>711000000</v>
      </c>
      <c r="K381" s="53" t="s">
        <v>1622</v>
      </c>
      <c r="L381" s="52" t="s">
        <v>1503</v>
      </c>
      <c r="M381" s="53" t="s">
        <v>1816</v>
      </c>
      <c r="N381" s="52" t="s">
        <v>241</v>
      </c>
      <c r="O381" s="53" t="s">
        <v>1978</v>
      </c>
      <c r="P381" s="53" t="s">
        <v>1538</v>
      </c>
      <c r="Q381" s="52">
        <v>796</v>
      </c>
      <c r="R381" s="52" t="s">
        <v>1818</v>
      </c>
      <c r="S381" s="54">
        <v>92</v>
      </c>
      <c r="T381" s="54">
        <f t="shared" si="33"/>
        <v>84.868421052631589</v>
      </c>
      <c r="U381" s="54">
        <f t="shared" si="34"/>
        <v>7947.3214285714294</v>
      </c>
      <c r="V381" s="54">
        <v>8901</v>
      </c>
      <c r="W381" s="52"/>
      <c r="X381" s="52">
        <v>2012</v>
      </c>
      <c r="Y381" s="52"/>
    </row>
    <row r="382" spans="2:25" s="55" customFormat="1" ht="114.75" outlineLevel="1">
      <c r="B382" s="52" t="s">
        <v>1128</v>
      </c>
      <c r="C382" s="78" t="s">
        <v>246</v>
      </c>
      <c r="D382" s="128" t="s">
        <v>265</v>
      </c>
      <c r="E382" s="56" t="s">
        <v>144</v>
      </c>
      <c r="F382" s="56" t="s">
        <v>1450</v>
      </c>
      <c r="G382" s="56"/>
      <c r="H382" s="52" t="s">
        <v>243</v>
      </c>
      <c r="I382" s="52">
        <v>10</v>
      </c>
      <c r="J382" s="52">
        <v>711000000</v>
      </c>
      <c r="K382" s="53" t="s">
        <v>1622</v>
      </c>
      <c r="L382" s="52" t="s">
        <v>1503</v>
      </c>
      <c r="M382" s="53" t="s">
        <v>1816</v>
      </c>
      <c r="N382" s="52" t="s">
        <v>241</v>
      </c>
      <c r="O382" s="53" t="s">
        <v>1978</v>
      </c>
      <c r="P382" s="53" t="s">
        <v>1538</v>
      </c>
      <c r="Q382" s="52">
        <v>796</v>
      </c>
      <c r="R382" s="52" t="s">
        <v>1818</v>
      </c>
      <c r="S382" s="54">
        <v>92</v>
      </c>
      <c r="T382" s="54">
        <f t="shared" si="33"/>
        <v>47.149122807017541</v>
      </c>
      <c r="U382" s="54">
        <f t="shared" si="34"/>
        <v>4415.1785714285716</v>
      </c>
      <c r="V382" s="54">
        <v>4945</v>
      </c>
      <c r="W382" s="52"/>
      <c r="X382" s="52">
        <v>2012</v>
      </c>
      <c r="Y382" s="52"/>
    </row>
    <row r="383" spans="2:25" s="55" customFormat="1" ht="114.75" outlineLevel="1">
      <c r="B383" s="52" t="s">
        <v>1129</v>
      </c>
      <c r="C383" s="78" t="s">
        <v>246</v>
      </c>
      <c r="D383" s="128" t="s">
        <v>265</v>
      </c>
      <c r="E383" s="56" t="s">
        <v>145</v>
      </c>
      <c r="F383" s="56" t="s">
        <v>1451</v>
      </c>
      <c r="G383" s="56"/>
      <c r="H383" s="52" t="s">
        <v>243</v>
      </c>
      <c r="I383" s="52">
        <v>10</v>
      </c>
      <c r="J383" s="52">
        <v>711000000</v>
      </c>
      <c r="K383" s="53" t="s">
        <v>1622</v>
      </c>
      <c r="L383" s="52" t="s">
        <v>1503</v>
      </c>
      <c r="M383" s="53" t="s">
        <v>1816</v>
      </c>
      <c r="N383" s="52" t="s">
        <v>241</v>
      </c>
      <c r="O383" s="53" t="s">
        <v>1978</v>
      </c>
      <c r="P383" s="53" t="s">
        <v>1538</v>
      </c>
      <c r="Q383" s="52">
        <v>796</v>
      </c>
      <c r="R383" s="52" t="s">
        <v>1818</v>
      </c>
      <c r="S383" s="54">
        <v>46</v>
      </c>
      <c r="T383" s="54">
        <f t="shared" si="33"/>
        <v>264.03508771929825</v>
      </c>
      <c r="U383" s="54">
        <f t="shared" si="34"/>
        <v>12362.5</v>
      </c>
      <c r="V383" s="54">
        <v>13846</v>
      </c>
      <c r="W383" s="52"/>
      <c r="X383" s="52">
        <v>2012</v>
      </c>
      <c r="Y383" s="52"/>
    </row>
    <row r="384" spans="2:25" s="55" customFormat="1" ht="114.75" outlineLevel="1">
      <c r="B384" s="52" t="s">
        <v>1130</v>
      </c>
      <c r="C384" s="78" t="s">
        <v>246</v>
      </c>
      <c r="D384" s="128" t="s">
        <v>265</v>
      </c>
      <c r="E384" s="56" t="s">
        <v>146</v>
      </c>
      <c r="F384" s="57" t="s">
        <v>1452</v>
      </c>
      <c r="G384" s="57"/>
      <c r="H384" s="52" t="s">
        <v>243</v>
      </c>
      <c r="I384" s="52">
        <v>10</v>
      </c>
      <c r="J384" s="52">
        <v>711000000</v>
      </c>
      <c r="K384" s="53" t="s">
        <v>1622</v>
      </c>
      <c r="L384" s="52" t="s">
        <v>1503</v>
      </c>
      <c r="M384" s="53" t="s">
        <v>1816</v>
      </c>
      <c r="N384" s="52" t="s">
        <v>241</v>
      </c>
      <c r="O384" s="53" t="s">
        <v>1978</v>
      </c>
      <c r="P384" s="53" t="s">
        <v>1538</v>
      </c>
      <c r="Q384" s="52">
        <v>796</v>
      </c>
      <c r="R384" s="52" t="s">
        <v>1818</v>
      </c>
      <c r="S384" s="54">
        <v>4.6000000000000005</v>
      </c>
      <c r="T384" s="54">
        <f t="shared" si="33"/>
        <v>2357.4561403508774</v>
      </c>
      <c r="U384" s="54">
        <f t="shared" si="34"/>
        <v>11037.946428571431</v>
      </c>
      <c r="V384" s="54">
        <v>12362.500000000002</v>
      </c>
      <c r="W384" s="52"/>
      <c r="X384" s="52">
        <v>2012</v>
      </c>
      <c r="Y384" s="52"/>
    </row>
    <row r="385" spans="2:25" s="55" customFormat="1" ht="114.75" outlineLevel="1">
      <c r="B385" s="52" t="s">
        <v>1131</v>
      </c>
      <c r="C385" s="78" t="s">
        <v>246</v>
      </c>
      <c r="D385" s="128" t="s">
        <v>265</v>
      </c>
      <c r="E385" s="56" t="s">
        <v>147</v>
      </c>
      <c r="F385" s="53" t="s">
        <v>1454</v>
      </c>
      <c r="G385" s="53"/>
      <c r="H385" s="52" t="s">
        <v>243</v>
      </c>
      <c r="I385" s="52">
        <v>10</v>
      </c>
      <c r="J385" s="52">
        <v>711000000</v>
      </c>
      <c r="K385" s="53" t="s">
        <v>1622</v>
      </c>
      <c r="L385" s="52" t="s">
        <v>1503</v>
      </c>
      <c r="M385" s="53" t="s">
        <v>1816</v>
      </c>
      <c r="N385" s="52" t="s">
        <v>241</v>
      </c>
      <c r="O385" s="53" t="s">
        <v>1978</v>
      </c>
      <c r="P385" s="53" t="s">
        <v>1538</v>
      </c>
      <c r="Q385" s="52">
        <v>796</v>
      </c>
      <c r="R385" s="52" t="s">
        <v>1818</v>
      </c>
      <c r="S385" s="54">
        <v>552</v>
      </c>
      <c r="T385" s="54">
        <f t="shared" si="33"/>
        <v>28.289473684210527</v>
      </c>
      <c r="U385" s="54">
        <f t="shared" si="34"/>
        <v>15894.642857142859</v>
      </c>
      <c r="V385" s="54">
        <v>17802</v>
      </c>
      <c r="W385" s="52"/>
      <c r="X385" s="52">
        <v>2012</v>
      </c>
      <c r="Y385" s="52"/>
    </row>
    <row r="386" spans="2:25" s="55" customFormat="1" ht="114.75" outlineLevel="1">
      <c r="B386" s="52" t="s">
        <v>1132</v>
      </c>
      <c r="C386" s="78" t="s">
        <v>246</v>
      </c>
      <c r="D386" s="128" t="s">
        <v>265</v>
      </c>
      <c r="E386" s="56" t="s">
        <v>148</v>
      </c>
      <c r="F386" s="57" t="s">
        <v>148</v>
      </c>
      <c r="G386" s="57"/>
      <c r="H386" s="52" t="s">
        <v>243</v>
      </c>
      <c r="I386" s="52">
        <v>10</v>
      </c>
      <c r="J386" s="52">
        <v>711000000</v>
      </c>
      <c r="K386" s="53" t="s">
        <v>1622</v>
      </c>
      <c r="L386" s="52" t="s">
        <v>1503</v>
      </c>
      <c r="M386" s="53" t="s">
        <v>1816</v>
      </c>
      <c r="N386" s="52" t="s">
        <v>241</v>
      </c>
      <c r="O386" s="53" t="s">
        <v>1978</v>
      </c>
      <c r="P386" s="53" t="s">
        <v>1538</v>
      </c>
      <c r="Q386" s="52">
        <v>796</v>
      </c>
      <c r="R386" s="52" t="s">
        <v>1818</v>
      </c>
      <c r="S386" s="54">
        <v>23</v>
      </c>
      <c r="T386" s="54">
        <f t="shared" si="33"/>
        <v>631.79824561403518</v>
      </c>
      <c r="U386" s="54">
        <f t="shared" si="34"/>
        <v>14790.848214285714</v>
      </c>
      <c r="V386" s="54">
        <v>16565.75</v>
      </c>
      <c r="W386" s="52"/>
      <c r="X386" s="52">
        <v>2012</v>
      </c>
      <c r="Y386" s="52"/>
    </row>
    <row r="387" spans="2:25" s="55" customFormat="1" ht="114.75" outlineLevel="1">
      <c r="B387" s="52" t="s">
        <v>1133</v>
      </c>
      <c r="C387" s="78" t="s">
        <v>246</v>
      </c>
      <c r="D387" s="128" t="s">
        <v>265</v>
      </c>
      <c r="E387" s="56" t="s">
        <v>149</v>
      </c>
      <c r="F387" s="57" t="s">
        <v>1453</v>
      </c>
      <c r="G387" s="57"/>
      <c r="H387" s="52" t="s">
        <v>243</v>
      </c>
      <c r="I387" s="52">
        <v>10</v>
      </c>
      <c r="J387" s="52">
        <v>711000000</v>
      </c>
      <c r="K387" s="53" t="s">
        <v>1622</v>
      </c>
      <c r="L387" s="52" t="s">
        <v>1503</v>
      </c>
      <c r="M387" s="53" t="s">
        <v>1816</v>
      </c>
      <c r="N387" s="52" t="s">
        <v>241</v>
      </c>
      <c r="O387" s="53" t="s">
        <v>1978</v>
      </c>
      <c r="P387" s="53" t="s">
        <v>1538</v>
      </c>
      <c r="Q387" s="52">
        <v>796</v>
      </c>
      <c r="R387" s="52" t="s">
        <v>1818</v>
      </c>
      <c r="S387" s="54">
        <v>276</v>
      </c>
      <c r="T387" s="54">
        <f t="shared" si="33"/>
        <v>28.289473684210527</v>
      </c>
      <c r="U387" s="54">
        <f t="shared" si="34"/>
        <v>7947.3214285714294</v>
      </c>
      <c r="V387" s="54">
        <v>8901</v>
      </c>
      <c r="W387" s="52"/>
      <c r="X387" s="52">
        <v>2012</v>
      </c>
      <c r="Y387" s="52"/>
    </row>
    <row r="388" spans="2:25" s="55" customFormat="1" ht="165.75" outlineLevel="1">
      <c r="B388" s="52" t="s">
        <v>1134</v>
      </c>
      <c r="C388" s="78" t="s">
        <v>246</v>
      </c>
      <c r="D388" s="77">
        <v>27015</v>
      </c>
      <c r="E388" s="56" t="s">
        <v>2325</v>
      </c>
      <c r="F388" s="56" t="s">
        <v>2324</v>
      </c>
      <c r="G388" s="56"/>
      <c r="H388" s="52" t="s">
        <v>243</v>
      </c>
      <c r="I388" s="52">
        <v>10</v>
      </c>
      <c r="J388" s="52">
        <v>190000000</v>
      </c>
      <c r="K388" s="56" t="s">
        <v>117</v>
      </c>
      <c r="L388" s="52" t="s">
        <v>1503</v>
      </c>
      <c r="M388" s="56" t="s">
        <v>117</v>
      </c>
      <c r="N388" s="52" t="s">
        <v>241</v>
      </c>
      <c r="O388" s="53" t="s">
        <v>1978</v>
      </c>
      <c r="P388" s="53" t="s">
        <v>1538</v>
      </c>
      <c r="Q388" s="52">
        <v>5111</v>
      </c>
      <c r="R388" s="52" t="s">
        <v>1434</v>
      </c>
      <c r="S388" s="54">
        <v>288</v>
      </c>
      <c r="T388" s="54">
        <f t="shared" si="33"/>
        <v>565.78947368421041</v>
      </c>
      <c r="U388" s="54">
        <f t="shared" si="34"/>
        <v>165857.14285714287</v>
      </c>
      <c r="V388" s="54">
        <v>185760</v>
      </c>
      <c r="W388" s="52"/>
      <c r="X388" s="52">
        <v>2012</v>
      </c>
      <c r="Y388" s="52"/>
    </row>
    <row r="389" spans="2:25" s="55" customFormat="1" ht="114.75" outlineLevel="1">
      <c r="B389" s="52" t="s">
        <v>1135</v>
      </c>
      <c r="C389" s="78" t="s">
        <v>246</v>
      </c>
      <c r="D389" s="56" t="s">
        <v>263</v>
      </c>
      <c r="E389" s="56" t="s">
        <v>130</v>
      </c>
      <c r="F389" s="56" t="s">
        <v>1438</v>
      </c>
      <c r="G389" s="56"/>
      <c r="H389" s="52" t="s">
        <v>243</v>
      </c>
      <c r="I389" s="52">
        <v>10</v>
      </c>
      <c r="J389" s="52">
        <v>190000000</v>
      </c>
      <c r="K389" s="56" t="s">
        <v>117</v>
      </c>
      <c r="L389" s="52" t="s">
        <v>1503</v>
      </c>
      <c r="M389" s="56" t="s">
        <v>117</v>
      </c>
      <c r="N389" s="52" t="s">
        <v>241</v>
      </c>
      <c r="O389" s="53" t="s">
        <v>1978</v>
      </c>
      <c r="P389" s="53" t="s">
        <v>1538</v>
      </c>
      <c r="Q389" s="52">
        <v>736</v>
      </c>
      <c r="R389" s="52" t="s">
        <v>1435</v>
      </c>
      <c r="S389" s="54">
        <v>24</v>
      </c>
      <c r="T389" s="54">
        <f t="shared" si="33"/>
        <v>216.88596491228068</v>
      </c>
      <c r="U389" s="54">
        <f t="shared" si="34"/>
        <v>5298.2142857142853</v>
      </c>
      <c r="V389" s="54">
        <v>5934</v>
      </c>
      <c r="W389" s="52"/>
      <c r="X389" s="52">
        <v>2012</v>
      </c>
      <c r="Y389" s="52"/>
    </row>
    <row r="390" spans="2:25" s="55" customFormat="1" ht="114.75" outlineLevel="1">
      <c r="B390" s="52" t="s">
        <v>1136</v>
      </c>
      <c r="C390" s="78" t="s">
        <v>246</v>
      </c>
      <c r="D390" s="128" t="s">
        <v>265</v>
      </c>
      <c r="E390" s="56" t="s">
        <v>131</v>
      </c>
      <c r="F390" s="53" t="s">
        <v>1456</v>
      </c>
      <c r="G390" s="53"/>
      <c r="H390" s="52" t="s">
        <v>243</v>
      </c>
      <c r="I390" s="52">
        <v>10</v>
      </c>
      <c r="J390" s="52">
        <v>190000000</v>
      </c>
      <c r="K390" s="56" t="s">
        <v>117</v>
      </c>
      <c r="L390" s="52" t="s">
        <v>1503</v>
      </c>
      <c r="M390" s="56" t="s">
        <v>117</v>
      </c>
      <c r="N390" s="52" t="s">
        <v>241</v>
      </c>
      <c r="O390" s="53" t="s">
        <v>1978</v>
      </c>
      <c r="P390" s="53" t="s">
        <v>1538</v>
      </c>
      <c r="Q390" s="52">
        <v>796</v>
      </c>
      <c r="R390" s="52" t="s">
        <v>1818</v>
      </c>
      <c r="S390" s="54">
        <v>48</v>
      </c>
      <c r="T390" s="54">
        <f t="shared" si="33"/>
        <v>103.72807017543859</v>
      </c>
      <c r="U390" s="54">
        <f t="shared" si="34"/>
        <v>5067.8571428571431</v>
      </c>
      <c r="V390" s="54">
        <v>5676</v>
      </c>
      <c r="W390" s="52"/>
      <c r="X390" s="52">
        <v>2012</v>
      </c>
      <c r="Y390" s="52"/>
    </row>
    <row r="391" spans="2:25" s="55" customFormat="1" ht="114.75" outlineLevel="1">
      <c r="B391" s="52" t="s">
        <v>1137</v>
      </c>
      <c r="C391" s="78" t="s">
        <v>246</v>
      </c>
      <c r="D391" s="128" t="s">
        <v>265</v>
      </c>
      <c r="E391" s="56" t="s">
        <v>132</v>
      </c>
      <c r="F391" s="56" t="s">
        <v>1439</v>
      </c>
      <c r="G391" s="56"/>
      <c r="H391" s="52" t="s">
        <v>243</v>
      </c>
      <c r="I391" s="52">
        <v>10</v>
      </c>
      <c r="J391" s="52">
        <v>190000000</v>
      </c>
      <c r="K391" s="56" t="s">
        <v>117</v>
      </c>
      <c r="L391" s="52" t="s">
        <v>1503</v>
      </c>
      <c r="M391" s="56" t="s">
        <v>117</v>
      </c>
      <c r="N391" s="52" t="s">
        <v>241</v>
      </c>
      <c r="O391" s="53" t="s">
        <v>1978</v>
      </c>
      <c r="P391" s="53" t="s">
        <v>1538</v>
      </c>
      <c r="Q391" s="52">
        <v>796</v>
      </c>
      <c r="R391" s="52" t="s">
        <v>1818</v>
      </c>
      <c r="S391" s="54">
        <v>48</v>
      </c>
      <c r="T391" s="54">
        <f t="shared" si="33"/>
        <v>141.44736842105263</v>
      </c>
      <c r="U391" s="54">
        <f t="shared" si="34"/>
        <v>6910.7142857142862</v>
      </c>
      <c r="V391" s="54">
        <v>7740</v>
      </c>
      <c r="W391" s="52"/>
      <c r="X391" s="52">
        <v>2012</v>
      </c>
      <c r="Y391" s="52"/>
    </row>
    <row r="392" spans="2:25" s="55" customFormat="1" ht="114.75" outlineLevel="1">
      <c r="B392" s="52" t="s">
        <v>1138</v>
      </c>
      <c r="C392" s="78" t="s">
        <v>246</v>
      </c>
      <c r="D392" s="128" t="s">
        <v>265</v>
      </c>
      <c r="E392" s="56" t="s">
        <v>133</v>
      </c>
      <c r="F392" s="56" t="s">
        <v>1440</v>
      </c>
      <c r="G392" s="56"/>
      <c r="H392" s="52" t="s">
        <v>243</v>
      </c>
      <c r="I392" s="52">
        <v>10</v>
      </c>
      <c r="J392" s="52">
        <v>190000000</v>
      </c>
      <c r="K392" s="56" t="s">
        <v>117</v>
      </c>
      <c r="L392" s="52" t="s">
        <v>1503</v>
      </c>
      <c r="M392" s="56" t="s">
        <v>117</v>
      </c>
      <c r="N392" s="52" t="s">
        <v>241</v>
      </c>
      <c r="O392" s="53" t="s">
        <v>1978</v>
      </c>
      <c r="P392" s="53" t="s">
        <v>1538</v>
      </c>
      <c r="Q392" s="52">
        <v>796</v>
      </c>
      <c r="R392" s="52" t="s">
        <v>1818</v>
      </c>
      <c r="S392" s="54">
        <v>48</v>
      </c>
      <c r="T392" s="54">
        <f t="shared" si="33"/>
        <v>89.583333333333329</v>
      </c>
      <c r="U392" s="54">
        <f t="shared" si="34"/>
        <v>4376.7857142857147</v>
      </c>
      <c r="V392" s="54">
        <v>4902</v>
      </c>
      <c r="W392" s="52"/>
      <c r="X392" s="52">
        <v>2012</v>
      </c>
      <c r="Y392" s="52"/>
    </row>
    <row r="393" spans="2:25" s="55" customFormat="1" ht="114.75" outlineLevel="1">
      <c r="B393" s="52" t="s">
        <v>1139</v>
      </c>
      <c r="C393" s="78" t="s">
        <v>246</v>
      </c>
      <c r="D393" s="128" t="s">
        <v>265</v>
      </c>
      <c r="E393" s="56" t="s">
        <v>134</v>
      </c>
      <c r="F393" s="53" t="s">
        <v>1455</v>
      </c>
      <c r="G393" s="53"/>
      <c r="H393" s="52" t="s">
        <v>243</v>
      </c>
      <c r="I393" s="52">
        <v>10</v>
      </c>
      <c r="J393" s="52">
        <v>190000000</v>
      </c>
      <c r="K393" s="56" t="s">
        <v>117</v>
      </c>
      <c r="L393" s="52" t="s">
        <v>1503</v>
      </c>
      <c r="M393" s="56" t="s">
        <v>117</v>
      </c>
      <c r="N393" s="52" t="s">
        <v>241</v>
      </c>
      <c r="O393" s="53" t="s">
        <v>1978</v>
      </c>
      <c r="P393" s="53" t="s">
        <v>1538</v>
      </c>
      <c r="Q393" s="52">
        <v>704</v>
      </c>
      <c r="R393" s="52" t="s">
        <v>1436</v>
      </c>
      <c r="S393" s="54">
        <v>12</v>
      </c>
      <c r="T393" s="54">
        <f t="shared" si="33"/>
        <v>1131.578947368421</v>
      </c>
      <c r="U393" s="54">
        <f t="shared" si="34"/>
        <v>13821.428571428572</v>
      </c>
      <c r="V393" s="54">
        <v>15480</v>
      </c>
      <c r="W393" s="52"/>
      <c r="X393" s="52">
        <v>2012</v>
      </c>
      <c r="Y393" s="52"/>
    </row>
    <row r="394" spans="2:25" s="55" customFormat="1" ht="114.75" outlineLevel="1">
      <c r="B394" s="52" t="s">
        <v>1140</v>
      </c>
      <c r="C394" s="78" t="s">
        <v>246</v>
      </c>
      <c r="D394" s="128" t="s">
        <v>265</v>
      </c>
      <c r="E394" s="56" t="s">
        <v>135</v>
      </c>
      <c r="F394" s="56" t="s">
        <v>1441</v>
      </c>
      <c r="G394" s="56"/>
      <c r="H394" s="52" t="s">
        <v>243</v>
      </c>
      <c r="I394" s="52">
        <v>10</v>
      </c>
      <c r="J394" s="52">
        <v>190000000</v>
      </c>
      <c r="K394" s="56" t="s">
        <v>117</v>
      </c>
      <c r="L394" s="52" t="s">
        <v>1503</v>
      </c>
      <c r="M394" s="56" t="s">
        <v>117</v>
      </c>
      <c r="N394" s="52" t="s">
        <v>241</v>
      </c>
      <c r="O394" s="53" t="s">
        <v>1978</v>
      </c>
      <c r="P394" s="53" t="s">
        <v>1538</v>
      </c>
      <c r="Q394" s="52">
        <v>796</v>
      </c>
      <c r="R394" s="52" t="s">
        <v>1818</v>
      </c>
      <c r="S394" s="54">
        <v>288</v>
      </c>
      <c r="T394" s="54">
        <f t="shared" si="33"/>
        <v>9.4298245614035086</v>
      </c>
      <c r="U394" s="54">
        <f t="shared" si="34"/>
        <v>2764.2857142857142</v>
      </c>
      <c r="V394" s="54">
        <v>3096</v>
      </c>
      <c r="W394" s="52"/>
      <c r="X394" s="52">
        <v>2012</v>
      </c>
      <c r="Y394" s="52"/>
    </row>
    <row r="395" spans="2:25" s="55" customFormat="1" ht="114.75" outlineLevel="1">
      <c r="B395" s="52" t="s">
        <v>1648</v>
      </c>
      <c r="C395" s="78" t="s">
        <v>246</v>
      </c>
      <c r="D395" s="128" t="s">
        <v>268</v>
      </c>
      <c r="E395" s="56" t="s">
        <v>136</v>
      </c>
      <c r="F395" s="56" t="s">
        <v>1442</v>
      </c>
      <c r="G395" s="56"/>
      <c r="H395" s="52" t="s">
        <v>243</v>
      </c>
      <c r="I395" s="52">
        <v>10</v>
      </c>
      <c r="J395" s="52">
        <v>190000000</v>
      </c>
      <c r="K395" s="56" t="s">
        <v>117</v>
      </c>
      <c r="L395" s="52" t="s">
        <v>1503</v>
      </c>
      <c r="M395" s="56" t="s">
        <v>117</v>
      </c>
      <c r="N395" s="52" t="s">
        <v>241</v>
      </c>
      <c r="O395" s="53" t="s">
        <v>1978</v>
      </c>
      <c r="P395" s="53" t="s">
        <v>1538</v>
      </c>
      <c r="Q395" s="52">
        <v>796</v>
      </c>
      <c r="R395" s="52" t="s">
        <v>1818</v>
      </c>
      <c r="S395" s="54">
        <v>72</v>
      </c>
      <c r="T395" s="54">
        <f t="shared" si="33"/>
        <v>424.34210526315792</v>
      </c>
      <c r="U395" s="54">
        <f t="shared" si="34"/>
        <v>31098.214285714283</v>
      </c>
      <c r="V395" s="54">
        <v>34830</v>
      </c>
      <c r="W395" s="52"/>
      <c r="X395" s="52">
        <v>2012</v>
      </c>
      <c r="Y395" s="52"/>
    </row>
    <row r="396" spans="2:25" s="55" customFormat="1" ht="114.75" outlineLevel="1">
      <c r="B396" s="52" t="s">
        <v>1141</v>
      </c>
      <c r="C396" s="78" t="s">
        <v>246</v>
      </c>
      <c r="D396" s="128" t="s">
        <v>265</v>
      </c>
      <c r="E396" s="56" t="s">
        <v>137</v>
      </c>
      <c r="F396" s="56" t="s">
        <v>1443</v>
      </c>
      <c r="G396" s="56"/>
      <c r="H396" s="52" t="s">
        <v>243</v>
      </c>
      <c r="I396" s="52">
        <v>10</v>
      </c>
      <c r="J396" s="52">
        <v>190000000</v>
      </c>
      <c r="K396" s="56" t="s">
        <v>117</v>
      </c>
      <c r="L396" s="52" t="s">
        <v>1503</v>
      </c>
      <c r="M396" s="56" t="s">
        <v>117</v>
      </c>
      <c r="N396" s="52" t="s">
        <v>241</v>
      </c>
      <c r="O396" s="53" t="s">
        <v>1978</v>
      </c>
      <c r="P396" s="53" t="s">
        <v>1538</v>
      </c>
      <c r="Q396" s="52">
        <v>796</v>
      </c>
      <c r="R396" s="52" t="s">
        <v>1818</v>
      </c>
      <c r="S396" s="54">
        <v>72</v>
      </c>
      <c r="T396" s="54">
        <f t="shared" si="33"/>
        <v>179.16666666666666</v>
      </c>
      <c r="U396" s="54">
        <f t="shared" si="34"/>
        <v>13130.357142857141</v>
      </c>
      <c r="V396" s="54">
        <v>14706</v>
      </c>
      <c r="W396" s="52"/>
      <c r="X396" s="52">
        <v>2012</v>
      </c>
      <c r="Y396" s="52"/>
    </row>
    <row r="397" spans="2:25" s="55" customFormat="1" ht="114.75" outlineLevel="1">
      <c r="B397" s="52" t="s">
        <v>1142</v>
      </c>
      <c r="C397" s="78" t="s">
        <v>246</v>
      </c>
      <c r="D397" s="128" t="s">
        <v>265</v>
      </c>
      <c r="E397" s="56" t="s">
        <v>138</v>
      </c>
      <c r="F397" s="56" t="s">
        <v>1444</v>
      </c>
      <c r="G397" s="56"/>
      <c r="H397" s="52" t="s">
        <v>243</v>
      </c>
      <c r="I397" s="52">
        <v>10</v>
      </c>
      <c r="J397" s="52">
        <v>190000000</v>
      </c>
      <c r="K397" s="56" t="s">
        <v>117</v>
      </c>
      <c r="L397" s="52" t="s">
        <v>1503</v>
      </c>
      <c r="M397" s="56" t="s">
        <v>117</v>
      </c>
      <c r="N397" s="52" t="s">
        <v>241</v>
      </c>
      <c r="O397" s="53" t="s">
        <v>1978</v>
      </c>
      <c r="P397" s="53" t="s">
        <v>1538</v>
      </c>
      <c r="Q397" s="52">
        <v>796</v>
      </c>
      <c r="R397" s="52" t="s">
        <v>1818</v>
      </c>
      <c r="S397" s="54">
        <v>12</v>
      </c>
      <c r="T397" s="54">
        <f t="shared" si="33"/>
        <v>141.44736842105263</v>
      </c>
      <c r="U397" s="54">
        <f t="shared" si="34"/>
        <v>1727.6785714285716</v>
      </c>
      <c r="V397" s="54">
        <v>1935</v>
      </c>
      <c r="W397" s="52"/>
      <c r="X397" s="52">
        <v>2012</v>
      </c>
      <c r="Y397" s="52"/>
    </row>
    <row r="398" spans="2:25" s="55" customFormat="1" ht="114.75" outlineLevel="1">
      <c r="B398" s="52" t="s">
        <v>1143</v>
      </c>
      <c r="C398" s="78" t="s">
        <v>246</v>
      </c>
      <c r="D398" s="128" t="s">
        <v>265</v>
      </c>
      <c r="E398" s="56" t="s">
        <v>139</v>
      </c>
      <c r="F398" s="56" t="s">
        <v>1445</v>
      </c>
      <c r="G398" s="56"/>
      <c r="H398" s="52" t="s">
        <v>243</v>
      </c>
      <c r="I398" s="52">
        <v>10</v>
      </c>
      <c r="J398" s="52">
        <v>190000000</v>
      </c>
      <c r="K398" s="56" t="s">
        <v>117</v>
      </c>
      <c r="L398" s="52" t="s">
        <v>1503</v>
      </c>
      <c r="M398" s="56" t="s">
        <v>117</v>
      </c>
      <c r="N398" s="52" t="s">
        <v>241</v>
      </c>
      <c r="O398" s="53" t="s">
        <v>1978</v>
      </c>
      <c r="P398" s="53" t="s">
        <v>1538</v>
      </c>
      <c r="Q398" s="52">
        <v>796</v>
      </c>
      <c r="R398" s="52" t="s">
        <v>1818</v>
      </c>
      <c r="S398" s="54">
        <v>72</v>
      </c>
      <c r="T398" s="54">
        <f t="shared" si="33"/>
        <v>99.013157894736821</v>
      </c>
      <c r="U398" s="54">
        <f t="shared" si="34"/>
        <v>7256.25</v>
      </c>
      <c r="V398" s="54">
        <v>8127</v>
      </c>
      <c r="W398" s="52"/>
      <c r="X398" s="52">
        <v>2012</v>
      </c>
      <c r="Y398" s="52"/>
    </row>
    <row r="399" spans="2:25" s="55" customFormat="1" ht="114.75" outlineLevel="1">
      <c r="B399" s="52" t="s">
        <v>1144</v>
      </c>
      <c r="C399" s="78" t="s">
        <v>246</v>
      </c>
      <c r="D399" s="128" t="s">
        <v>265</v>
      </c>
      <c r="E399" s="56" t="s">
        <v>140</v>
      </c>
      <c r="F399" s="57" t="s">
        <v>1446</v>
      </c>
      <c r="G399" s="57"/>
      <c r="H399" s="52" t="s">
        <v>243</v>
      </c>
      <c r="I399" s="52">
        <v>10</v>
      </c>
      <c r="J399" s="52">
        <v>190000000</v>
      </c>
      <c r="K399" s="56" t="s">
        <v>117</v>
      </c>
      <c r="L399" s="52" t="s">
        <v>1503</v>
      </c>
      <c r="M399" s="56" t="s">
        <v>117</v>
      </c>
      <c r="N399" s="52" t="s">
        <v>241</v>
      </c>
      <c r="O399" s="53" t="s">
        <v>1978</v>
      </c>
      <c r="P399" s="53" t="s">
        <v>1538</v>
      </c>
      <c r="Q399" s="52">
        <v>796</v>
      </c>
      <c r="R399" s="52" t="s">
        <v>1818</v>
      </c>
      <c r="S399" s="54">
        <v>72</v>
      </c>
      <c r="T399" s="54">
        <f t="shared" si="33"/>
        <v>84.868421052631589</v>
      </c>
      <c r="U399" s="54">
        <f t="shared" si="34"/>
        <v>6219.6428571428569</v>
      </c>
      <c r="V399" s="54">
        <v>6966</v>
      </c>
      <c r="W399" s="52"/>
      <c r="X399" s="52">
        <v>2012</v>
      </c>
      <c r="Y399" s="52"/>
    </row>
    <row r="400" spans="2:25" s="55" customFormat="1" ht="114.75" outlineLevel="1">
      <c r="B400" s="52" t="s">
        <v>1145</v>
      </c>
      <c r="C400" s="78" t="s">
        <v>246</v>
      </c>
      <c r="D400" s="56" t="s">
        <v>265</v>
      </c>
      <c r="E400" s="56" t="s">
        <v>141</v>
      </c>
      <c r="F400" s="57" t="s">
        <v>1447</v>
      </c>
      <c r="G400" s="57"/>
      <c r="H400" s="52" t="s">
        <v>243</v>
      </c>
      <c r="I400" s="52">
        <v>10</v>
      </c>
      <c r="J400" s="52">
        <v>190000000</v>
      </c>
      <c r="K400" s="56" t="s">
        <v>117</v>
      </c>
      <c r="L400" s="52" t="s">
        <v>1503</v>
      </c>
      <c r="M400" s="56" t="s">
        <v>117</v>
      </c>
      <c r="N400" s="52" t="s">
        <v>241</v>
      </c>
      <c r="O400" s="53" t="s">
        <v>1978</v>
      </c>
      <c r="P400" s="53" t="s">
        <v>1538</v>
      </c>
      <c r="Q400" s="52">
        <v>796</v>
      </c>
      <c r="R400" s="52" t="s">
        <v>1818</v>
      </c>
      <c r="S400" s="54">
        <v>24</v>
      </c>
      <c r="T400" s="54">
        <f t="shared" si="33"/>
        <v>471.49122807017551</v>
      </c>
      <c r="U400" s="54">
        <f t="shared" si="34"/>
        <v>11517.857142857143</v>
      </c>
      <c r="V400" s="54">
        <v>12900</v>
      </c>
      <c r="W400" s="52"/>
      <c r="X400" s="52">
        <v>2012</v>
      </c>
      <c r="Y400" s="52"/>
    </row>
    <row r="401" spans="2:25" s="55" customFormat="1" ht="114.75" outlineLevel="1">
      <c r="B401" s="52" t="s">
        <v>1146</v>
      </c>
      <c r="C401" s="78" t="s">
        <v>246</v>
      </c>
      <c r="D401" s="56" t="s">
        <v>265</v>
      </c>
      <c r="E401" s="56" t="s">
        <v>142</v>
      </c>
      <c r="F401" s="53" t="s">
        <v>1448</v>
      </c>
      <c r="G401" s="53"/>
      <c r="H401" s="52" t="s">
        <v>243</v>
      </c>
      <c r="I401" s="52">
        <v>10</v>
      </c>
      <c r="J401" s="52">
        <v>190000000</v>
      </c>
      <c r="K401" s="56" t="s">
        <v>117</v>
      </c>
      <c r="L401" s="52" t="s">
        <v>1503</v>
      </c>
      <c r="M401" s="56" t="s">
        <v>117</v>
      </c>
      <c r="N401" s="52" t="s">
        <v>241</v>
      </c>
      <c r="O401" s="53" t="s">
        <v>1978</v>
      </c>
      <c r="P401" s="53" t="s">
        <v>1538</v>
      </c>
      <c r="Q401" s="52">
        <v>796</v>
      </c>
      <c r="R401" s="52" t="s">
        <v>1818</v>
      </c>
      <c r="S401" s="54">
        <v>48</v>
      </c>
      <c r="T401" s="54">
        <f t="shared" si="33"/>
        <v>113.1578947368421</v>
      </c>
      <c r="U401" s="54">
        <f t="shared" si="34"/>
        <v>5528.5714285714284</v>
      </c>
      <c r="V401" s="54">
        <v>6192</v>
      </c>
      <c r="W401" s="52"/>
      <c r="X401" s="52">
        <v>2012</v>
      </c>
      <c r="Y401" s="52"/>
    </row>
    <row r="402" spans="2:25" s="55" customFormat="1" ht="114.75" outlineLevel="1">
      <c r="B402" s="52" t="s">
        <v>1147</v>
      </c>
      <c r="C402" s="78" t="s">
        <v>246</v>
      </c>
      <c r="D402" s="128" t="s">
        <v>265</v>
      </c>
      <c r="E402" s="56" t="s">
        <v>143</v>
      </c>
      <c r="F402" s="56" t="s">
        <v>1449</v>
      </c>
      <c r="G402" s="56"/>
      <c r="H402" s="52" t="s">
        <v>243</v>
      </c>
      <c r="I402" s="52">
        <v>10</v>
      </c>
      <c r="J402" s="52">
        <v>190000000</v>
      </c>
      <c r="K402" s="56" t="s">
        <v>117</v>
      </c>
      <c r="L402" s="52" t="s">
        <v>1503</v>
      </c>
      <c r="M402" s="56" t="s">
        <v>117</v>
      </c>
      <c r="N402" s="52" t="s">
        <v>241</v>
      </c>
      <c r="O402" s="53" t="s">
        <v>1978</v>
      </c>
      <c r="P402" s="53" t="s">
        <v>1538</v>
      </c>
      <c r="Q402" s="52">
        <v>796</v>
      </c>
      <c r="R402" s="52" t="s">
        <v>1818</v>
      </c>
      <c r="S402" s="54">
        <v>48</v>
      </c>
      <c r="T402" s="54">
        <f t="shared" si="33"/>
        <v>84.868421052631575</v>
      </c>
      <c r="U402" s="54">
        <f t="shared" si="34"/>
        <v>4146.4285714285716</v>
      </c>
      <c r="V402" s="54">
        <v>4644</v>
      </c>
      <c r="W402" s="52"/>
      <c r="X402" s="52">
        <v>2012</v>
      </c>
      <c r="Y402" s="52"/>
    </row>
    <row r="403" spans="2:25" s="55" customFormat="1" ht="114.75" outlineLevel="1">
      <c r="B403" s="52" t="s">
        <v>1148</v>
      </c>
      <c r="C403" s="78" t="s">
        <v>246</v>
      </c>
      <c r="D403" s="128" t="s">
        <v>265</v>
      </c>
      <c r="E403" s="56" t="s">
        <v>144</v>
      </c>
      <c r="F403" s="56" t="s">
        <v>1450</v>
      </c>
      <c r="G403" s="56"/>
      <c r="H403" s="52" t="s">
        <v>243</v>
      </c>
      <c r="I403" s="52">
        <v>10</v>
      </c>
      <c r="J403" s="52">
        <v>190000000</v>
      </c>
      <c r="K403" s="56" t="s">
        <v>117</v>
      </c>
      <c r="L403" s="52" t="s">
        <v>1503</v>
      </c>
      <c r="M403" s="56" t="s">
        <v>117</v>
      </c>
      <c r="N403" s="52" t="s">
        <v>241</v>
      </c>
      <c r="O403" s="53" t="s">
        <v>1978</v>
      </c>
      <c r="P403" s="53" t="s">
        <v>1538</v>
      </c>
      <c r="Q403" s="52">
        <v>796</v>
      </c>
      <c r="R403" s="52" t="s">
        <v>1818</v>
      </c>
      <c r="S403" s="54">
        <v>48</v>
      </c>
      <c r="T403" s="54">
        <f t="shared" si="33"/>
        <v>47.149122807017541</v>
      </c>
      <c r="U403" s="54">
        <f t="shared" si="34"/>
        <v>2303.5714285714284</v>
      </c>
      <c r="V403" s="54">
        <v>2580</v>
      </c>
      <c r="W403" s="52"/>
      <c r="X403" s="52">
        <v>2012</v>
      </c>
      <c r="Y403" s="52"/>
    </row>
    <row r="404" spans="2:25" s="55" customFormat="1" ht="114.75" outlineLevel="1">
      <c r="B404" s="52" t="s">
        <v>1149</v>
      </c>
      <c r="C404" s="78" t="s">
        <v>246</v>
      </c>
      <c r="D404" s="128" t="s">
        <v>265</v>
      </c>
      <c r="E404" s="56" t="s">
        <v>145</v>
      </c>
      <c r="F404" s="56" t="s">
        <v>1451</v>
      </c>
      <c r="G404" s="56"/>
      <c r="H404" s="52" t="s">
        <v>243</v>
      </c>
      <c r="I404" s="52">
        <v>10</v>
      </c>
      <c r="J404" s="52">
        <v>190000000</v>
      </c>
      <c r="K404" s="56" t="s">
        <v>117</v>
      </c>
      <c r="L404" s="52" t="s">
        <v>1503</v>
      </c>
      <c r="M404" s="56" t="s">
        <v>117</v>
      </c>
      <c r="N404" s="52" t="s">
        <v>241</v>
      </c>
      <c r="O404" s="53" t="s">
        <v>1978</v>
      </c>
      <c r="P404" s="53" t="s">
        <v>1538</v>
      </c>
      <c r="Q404" s="52">
        <v>796</v>
      </c>
      <c r="R404" s="52" t="s">
        <v>1818</v>
      </c>
      <c r="S404" s="54">
        <v>24</v>
      </c>
      <c r="T404" s="54">
        <f t="shared" si="33"/>
        <v>264.03508771929825</v>
      </c>
      <c r="U404" s="54">
        <f t="shared" si="34"/>
        <v>6450</v>
      </c>
      <c r="V404" s="54">
        <v>7224</v>
      </c>
      <c r="W404" s="52"/>
      <c r="X404" s="52">
        <v>2012</v>
      </c>
      <c r="Y404" s="52"/>
    </row>
    <row r="405" spans="2:25" s="55" customFormat="1" ht="114.75" outlineLevel="1">
      <c r="B405" s="52" t="s">
        <v>1150</v>
      </c>
      <c r="C405" s="78" t="s">
        <v>246</v>
      </c>
      <c r="D405" s="128" t="s">
        <v>265</v>
      </c>
      <c r="E405" s="56" t="s">
        <v>146</v>
      </c>
      <c r="F405" s="57" t="s">
        <v>1452</v>
      </c>
      <c r="G405" s="57"/>
      <c r="H405" s="52" t="s">
        <v>243</v>
      </c>
      <c r="I405" s="52">
        <v>10</v>
      </c>
      <c r="J405" s="52">
        <v>190000000</v>
      </c>
      <c r="K405" s="56" t="s">
        <v>117</v>
      </c>
      <c r="L405" s="52" t="s">
        <v>1503</v>
      </c>
      <c r="M405" s="56" t="s">
        <v>117</v>
      </c>
      <c r="N405" s="52" t="s">
        <v>241</v>
      </c>
      <c r="O405" s="53" t="s">
        <v>1978</v>
      </c>
      <c r="P405" s="53" t="s">
        <v>1538</v>
      </c>
      <c r="Q405" s="52">
        <v>796</v>
      </c>
      <c r="R405" s="52" t="s">
        <v>1818</v>
      </c>
      <c r="S405" s="54">
        <v>2.4000000000000004</v>
      </c>
      <c r="T405" s="54">
        <f t="shared" si="33"/>
        <v>2357.4561403508769</v>
      </c>
      <c r="U405" s="54">
        <f t="shared" si="34"/>
        <v>5758.9285714285725</v>
      </c>
      <c r="V405" s="54">
        <v>6450.0000000000009</v>
      </c>
      <c r="W405" s="52"/>
      <c r="X405" s="52">
        <v>2012</v>
      </c>
      <c r="Y405" s="52"/>
    </row>
    <row r="406" spans="2:25" s="55" customFormat="1" ht="114.75" outlineLevel="1">
      <c r="B406" s="52" t="s">
        <v>1151</v>
      </c>
      <c r="C406" s="78" t="s">
        <v>246</v>
      </c>
      <c r="D406" s="128" t="s">
        <v>265</v>
      </c>
      <c r="E406" s="56" t="s">
        <v>147</v>
      </c>
      <c r="F406" s="53" t="s">
        <v>1454</v>
      </c>
      <c r="G406" s="53"/>
      <c r="H406" s="52" t="s">
        <v>243</v>
      </c>
      <c r="I406" s="52">
        <v>10</v>
      </c>
      <c r="J406" s="52">
        <v>190000000</v>
      </c>
      <c r="K406" s="56" t="s">
        <v>117</v>
      </c>
      <c r="L406" s="52" t="s">
        <v>1503</v>
      </c>
      <c r="M406" s="56" t="s">
        <v>117</v>
      </c>
      <c r="N406" s="52" t="s">
        <v>241</v>
      </c>
      <c r="O406" s="53" t="s">
        <v>1978</v>
      </c>
      <c r="P406" s="53" t="s">
        <v>1538</v>
      </c>
      <c r="Q406" s="52">
        <v>796</v>
      </c>
      <c r="R406" s="52" t="s">
        <v>1818</v>
      </c>
      <c r="S406" s="54">
        <v>288</v>
      </c>
      <c r="T406" s="54">
        <f t="shared" si="33"/>
        <v>28.289473684210527</v>
      </c>
      <c r="U406" s="54">
        <f t="shared" si="34"/>
        <v>8292.8571428571431</v>
      </c>
      <c r="V406" s="54">
        <v>9288</v>
      </c>
      <c r="W406" s="52"/>
      <c r="X406" s="52">
        <v>2012</v>
      </c>
      <c r="Y406" s="52"/>
    </row>
    <row r="407" spans="2:25" s="55" customFormat="1" ht="114.75" outlineLevel="1">
      <c r="B407" s="52" t="s">
        <v>1152</v>
      </c>
      <c r="C407" s="78" t="s">
        <v>246</v>
      </c>
      <c r="D407" s="128" t="s">
        <v>265</v>
      </c>
      <c r="E407" s="56" t="s">
        <v>148</v>
      </c>
      <c r="F407" s="57" t="s">
        <v>148</v>
      </c>
      <c r="G407" s="57"/>
      <c r="H407" s="52" t="s">
        <v>243</v>
      </c>
      <c r="I407" s="52">
        <v>10</v>
      </c>
      <c r="J407" s="52">
        <v>190000000</v>
      </c>
      <c r="K407" s="56" t="s">
        <v>117</v>
      </c>
      <c r="L407" s="52" t="s">
        <v>1503</v>
      </c>
      <c r="M407" s="56" t="s">
        <v>117</v>
      </c>
      <c r="N407" s="52" t="s">
        <v>241</v>
      </c>
      <c r="O407" s="53" t="s">
        <v>1978</v>
      </c>
      <c r="P407" s="53" t="s">
        <v>1538</v>
      </c>
      <c r="Q407" s="52">
        <v>796</v>
      </c>
      <c r="R407" s="52" t="s">
        <v>1818</v>
      </c>
      <c r="S407" s="54">
        <v>12</v>
      </c>
      <c r="T407" s="54">
        <f t="shared" si="33"/>
        <v>631.79824561403507</v>
      </c>
      <c r="U407" s="54">
        <f t="shared" si="34"/>
        <v>7716.9642857142862</v>
      </c>
      <c r="V407" s="54">
        <v>8643</v>
      </c>
      <c r="W407" s="52"/>
      <c r="X407" s="52">
        <v>2012</v>
      </c>
      <c r="Y407" s="52"/>
    </row>
    <row r="408" spans="2:25" s="55" customFormat="1" ht="114.75" outlineLevel="1">
      <c r="B408" s="52" t="s">
        <v>1153</v>
      </c>
      <c r="C408" s="78" t="s">
        <v>246</v>
      </c>
      <c r="D408" s="128" t="s">
        <v>265</v>
      </c>
      <c r="E408" s="56" t="s">
        <v>149</v>
      </c>
      <c r="F408" s="57" t="s">
        <v>1453</v>
      </c>
      <c r="G408" s="57"/>
      <c r="H408" s="52" t="s">
        <v>243</v>
      </c>
      <c r="I408" s="52">
        <v>10</v>
      </c>
      <c r="J408" s="52">
        <v>190000000</v>
      </c>
      <c r="K408" s="56" t="s">
        <v>117</v>
      </c>
      <c r="L408" s="52" t="s">
        <v>1503</v>
      </c>
      <c r="M408" s="56" t="s">
        <v>117</v>
      </c>
      <c r="N408" s="52" t="s">
        <v>241</v>
      </c>
      <c r="O408" s="53" t="s">
        <v>1978</v>
      </c>
      <c r="P408" s="53" t="s">
        <v>1538</v>
      </c>
      <c r="Q408" s="52">
        <v>796</v>
      </c>
      <c r="R408" s="52" t="s">
        <v>1818</v>
      </c>
      <c r="S408" s="54">
        <v>144</v>
      </c>
      <c r="T408" s="54">
        <f t="shared" si="33"/>
        <v>28.289473684210527</v>
      </c>
      <c r="U408" s="54">
        <f t="shared" si="34"/>
        <v>4146.4285714285716</v>
      </c>
      <c r="V408" s="54">
        <v>4644</v>
      </c>
      <c r="W408" s="52"/>
      <c r="X408" s="52">
        <v>2012</v>
      </c>
      <c r="Y408" s="52"/>
    </row>
    <row r="409" spans="2:25" s="55" customFormat="1" ht="165.75" outlineLevel="1">
      <c r="B409" s="52" t="s">
        <v>1154</v>
      </c>
      <c r="C409" s="78" t="s">
        <v>246</v>
      </c>
      <c r="D409" s="77">
        <v>27015</v>
      </c>
      <c r="E409" s="56" t="s">
        <v>2325</v>
      </c>
      <c r="F409" s="56" t="s">
        <v>2324</v>
      </c>
      <c r="G409" s="56"/>
      <c r="H409" s="52" t="s">
        <v>243</v>
      </c>
      <c r="I409" s="52">
        <v>10</v>
      </c>
      <c r="J409" s="52">
        <v>110000000</v>
      </c>
      <c r="K409" s="56" t="s">
        <v>125</v>
      </c>
      <c r="L409" s="52" t="s">
        <v>1503</v>
      </c>
      <c r="M409" s="56" t="s">
        <v>125</v>
      </c>
      <c r="N409" s="52" t="s">
        <v>241</v>
      </c>
      <c r="O409" s="53" t="s">
        <v>1978</v>
      </c>
      <c r="P409" s="53" t="s">
        <v>1538</v>
      </c>
      <c r="Q409" s="52">
        <v>5111</v>
      </c>
      <c r="R409" s="52" t="s">
        <v>1434</v>
      </c>
      <c r="S409" s="54">
        <v>264</v>
      </c>
      <c r="T409" s="54">
        <f t="shared" si="33"/>
        <v>565.78947368421052</v>
      </c>
      <c r="U409" s="54">
        <f t="shared" si="34"/>
        <v>152035.71428571429</v>
      </c>
      <c r="V409" s="54">
        <v>170280</v>
      </c>
      <c r="W409" s="52"/>
      <c r="X409" s="52">
        <v>2012</v>
      </c>
      <c r="Y409" s="52"/>
    </row>
    <row r="410" spans="2:25" s="55" customFormat="1" ht="114.75" outlineLevel="1">
      <c r="B410" s="52" t="s">
        <v>1155</v>
      </c>
      <c r="C410" s="78" t="s">
        <v>246</v>
      </c>
      <c r="D410" s="56" t="s">
        <v>263</v>
      </c>
      <c r="E410" s="56" t="s">
        <v>130</v>
      </c>
      <c r="F410" s="56" t="s">
        <v>1438</v>
      </c>
      <c r="G410" s="56"/>
      <c r="H410" s="52" t="s">
        <v>243</v>
      </c>
      <c r="I410" s="52">
        <v>10</v>
      </c>
      <c r="J410" s="52">
        <v>110000000</v>
      </c>
      <c r="K410" s="56" t="s">
        <v>125</v>
      </c>
      <c r="L410" s="52" t="s">
        <v>1503</v>
      </c>
      <c r="M410" s="56" t="s">
        <v>125</v>
      </c>
      <c r="N410" s="52" t="s">
        <v>241</v>
      </c>
      <c r="O410" s="53" t="s">
        <v>1978</v>
      </c>
      <c r="P410" s="53" t="s">
        <v>1538</v>
      </c>
      <c r="Q410" s="52">
        <v>736</v>
      </c>
      <c r="R410" s="52" t="s">
        <v>1435</v>
      </c>
      <c r="S410" s="54">
        <v>22</v>
      </c>
      <c r="T410" s="54">
        <f t="shared" si="33"/>
        <v>216.88596491228071</v>
      </c>
      <c r="U410" s="54">
        <f t="shared" si="34"/>
        <v>4856.6964285714284</v>
      </c>
      <c r="V410" s="54">
        <v>5439.5</v>
      </c>
      <c r="W410" s="52"/>
      <c r="X410" s="52">
        <v>2012</v>
      </c>
      <c r="Y410" s="52"/>
    </row>
    <row r="411" spans="2:25" s="55" customFormat="1" ht="114.75" outlineLevel="1">
      <c r="B411" s="52" t="s">
        <v>1156</v>
      </c>
      <c r="C411" s="78" t="s">
        <v>246</v>
      </c>
      <c r="D411" s="128" t="s">
        <v>265</v>
      </c>
      <c r="E411" s="56" t="s">
        <v>131</v>
      </c>
      <c r="F411" s="53" t="s">
        <v>1456</v>
      </c>
      <c r="G411" s="53"/>
      <c r="H411" s="52" t="s">
        <v>243</v>
      </c>
      <c r="I411" s="52">
        <v>10</v>
      </c>
      <c r="J411" s="52">
        <v>110000000</v>
      </c>
      <c r="K411" s="56" t="s">
        <v>125</v>
      </c>
      <c r="L411" s="52" t="s">
        <v>1503</v>
      </c>
      <c r="M411" s="56" t="s">
        <v>125</v>
      </c>
      <c r="N411" s="52" t="s">
        <v>241</v>
      </c>
      <c r="O411" s="53" t="s">
        <v>1978</v>
      </c>
      <c r="P411" s="53" t="s">
        <v>1538</v>
      </c>
      <c r="Q411" s="52">
        <v>796</v>
      </c>
      <c r="R411" s="52" t="s">
        <v>1818</v>
      </c>
      <c r="S411" s="54">
        <v>44</v>
      </c>
      <c r="T411" s="54">
        <f t="shared" si="33"/>
        <v>103.72807017543859</v>
      </c>
      <c r="U411" s="54">
        <f t="shared" si="34"/>
        <v>4645.5357142857147</v>
      </c>
      <c r="V411" s="54">
        <v>5203</v>
      </c>
      <c r="W411" s="52"/>
      <c r="X411" s="52">
        <v>2012</v>
      </c>
      <c r="Y411" s="52"/>
    </row>
    <row r="412" spans="2:25" s="55" customFormat="1" ht="114.75" outlineLevel="1">
      <c r="B412" s="52" t="s">
        <v>1157</v>
      </c>
      <c r="C412" s="78" t="s">
        <v>246</v>
      </c>
      <c r="D412" s="128" t="s">
        <v>265</v>
      </c>
      <c r="E412" s="56" t="s">
        <v>132</v>
      </c>
      <c r="F412" s="56" t="s">
        <v>1439</v>
      </c>
      <c r="G412" s="56"/>
      <c r="H412" s="52" t="s">
        <v>243</v>
      </c>
      <c r="I412" s="52">
        <v>10</v>
      </c>
      <c r="J412" s="52">
        <v>110000000</v>
      </c>
      <c r="K412" s="56" t="s">
        <v>125</v>
      </c>
      <c r="L412" s="52" t="s">
        <v>1503</v>
      </c>
      <c r="M412" s="56" t="s">
        <v>125</v>
      </c>
      <c r="N412" s="52" t="s">
        <v>241</v>
      </c>
      <c r="O412" s="53" t="s">
        <v>1978</v>
      </c>
      <c r="P412" s="53" t="s">
        <v>1538</v>
      </c>
      <c r="Q412" s="52">
        <v>796</v>
      </c>
      <c r="R412" s="52" t="s">
        <v>1818</v>
      </c>
      <c r="S412" s="54">
        <v>44</v>
      </c>
      <c r="T412" s="54">
        <f t="shared" si="33"/>
        <v>141.44736842105263</v>
      </c>
      <c r="U412" s="54">
        <f t="shared" si="34"/>
        <v>6334.8214285714284</v>
      </c>
      <c r="V412" s="54">
        <v>7095</v>
      </c>
      <c r="W412" s="52"/>
      <c r="X412" s="52">
        <v>2012</v>
      </c>
      <c r="Y412" s="52"/>
    </row>
    <row r="413" spans="2:25" s="55" customFormat="1" ht="114.75" outlineLevel="1">
      <c r="B413" s="52" t="s">
        <v>1158</v>
      </c>
      <c r="C413" s="78" t="s">
        <v>246</v>
      </c>
      <c r="D413" s="128" t="s">
        <v>265</v>
      </c>
      <c r="E413" s="56" t="s">
        <v>133</v>
      </c>
      <c r="F413" s="56" t="s">
        <v>1440</v>
      </c>
      <c r="G413" s="56"/>
      <c r="H413" s="52" t="s">
        <v>243</v>
      </c>
      <c r="I413" s="52">
        <v>10</v>
      </c>
      <c r="J413" s="52">
        <v>110000000</v>
      </c>
      <c r="K413" s="56" t="s">
        <v>125</v>
      </c>
      <c r="L413" s="52" t="s">
        <v>1503</v>
      </c>
      <c r="M413" s="56" t="s">
        <v>125</v>
      </c>
      <c r="N413" s="52" t="s">
        <v>241</v>
      </c>
      <c r="O413" s="53" t="s">
        <v>1978</v>
      </c>
      <c r="P413" s="53" t="s">
        <v>1538</v>
      </c>
      <c r="Q413" s="52">
        <v>796</v>
      </c>
      <c r="R413" s="52" t="s">
        <v>1818</v>
      </c>
      <c r="S413" s="54">
        <v>44</v>
      </c>
      <c r="T413" s="54">
        <f t="shared" si="33"/>
        <v>89.583333333333329</v>
      </c>
      <c r="U413" s="54">
        <f t="shared" si="34"/>
        <v>4012.0535714285716</v>
      </c>
      <c r="V413" s="54">
        <v>4493.5</v>
      </c>
      <c r="W413" s="52"/>
      <c r="X413" s="52">
        <v>2012</v>
      </c>
      <c r="Y413" s="52"/>
    </row>
    <row r="414" spans="2:25" s="55" customFormat="1" ht="114.75" outlineLevel="1">
      <c r="B414" s="52" t="s">
        <v>1159</v>
      </c>
      <c r="C414" s="78" t="s">
        <v>246</v>
      </c>
      <c r="D414" s="128" t="s">
        <v>265</v>
      </c>
      <c r="E414" s="56" t="s">
        <v>134</v>
      </c>
      <c r="F414" s="53" t="s">
        <v>1455</v>
      </c>
      <c r="G414" s="53"/>
      <c r="H414" s="52" t="s">
        <v>243</v>
      </c>
      <c r="I414" s="52">
        <v>10</v>
      </c>
      <c r="J414" s="52">
        <v>110000000</v>
      </c>
      <c r="K414" s="56" t="s">
        <v>125</v>
      </c>
      <c r="L414" s="52" t="s">
        <v>1503</v>
      </c>
      <c r="M414" s="56" t="s">
        <v>125</v>
      </c>
      <c r="N414" s="52" t="s">
        <v>241</v>
      </c>
      <c r="O414" s="53" t="s">
        <v>1978</v>
      </c>
      <c r="P414" s="53" t="s">
        <v>1538</v>
      </c>
      <c r="Q414" s="52">
        <v>704</v>
      </c>
      <c r="R414" s="52" t="s">
        <v>1436</v>
      </c>
      <c r="S414" s="54">
        <v>11</v>
      </c>
      <c r="T414" s="54">
        <f t="shared" si="33"/>
        <v>1131.578947368421</v>
      </c>
      <c r="U414" s="54">
        <f t="shared" si="34"/>
        <v>12669.642857142857</v>
      </c>
      <c r="V414" s="54">
        <v>14190</v>
      </c>
      <c r="W414" s="52"/>
      <c r="X414" s="52">
        <v>2012</v>
      </c>
      <c r="Y414" s="52"/>
    </row>
    <row r="415" spans="2:25" s="55" customFormat="1" ht="114.75" outlineLevel="1">
      <c r="B415" s="52" t="s">
        <v>1160</v>
      </c>
      <c r="C415" s="78" t="s">
        <v>246</v>
      </c>
      <c r="D415" s="128" t="s">
        <v>265</v>
      </c>
      <c r="E415" s="56" t="s">
        <v>135</v>
      </c>
      <c r="F415" s="56" t="s">
        <v>1441</v>
      </c>
      <c r="G415" s="56"/>
      <c r="H415" s="52" t="s">
        <v>243</v>
      </c>
      <c r="I415" s="52">
        <v>10</v>
      </c>
      <c r="J415" s="52">
        <v>110000000</v>
      </c>
      <c r="K415" s="56" t="s">
        <v>125</v>
      </c>
      <c r="L415" s="52" t="s">
        <v>1503</v>
      </c>
      <c r="M415" s="56" t="s">
        <v>125</v>
      </c>
      <c r="N415" s="52" t="s">
        <v>241</v>
      </c>
      <c r="O415" s="53" t="s">
        <v>1978</v>
      </c>
      <c r="P415" s="53" t="s">
        <v>1538</v>
      </c>
      <c r="Q415" s="52">
        <v>796</v>
      </c>
      <c r="R415" s="52" t="s">
        <v>1818</v>
      </c>
      <c r="S415" s="54">
        <v>264</v>
      </c>
      <c r="T415" s="54">
        <f t="shared" si="33"/>
        <v>9.4298245614035086</v>
      </c>
      <c r="U415" s="54">
        <f t="shared" si="34"/>
        <v>2533.9285714285716</v>
      </c>
      <c r="V415" s="54">
        <v>2838</v>
      </c>
      <c r="W415" s="52"/>
      <c r="X415" s="52">
        <v>2012</v>
      </c>
      <c r="Y415" s="52"/>
    </row>
    <row r="416" spans="2:25" s="55" customFormat="1" ht="114.75" outlineLevel="1">
      <c r="B416" s="52" t="s">
        <v>1161</v>
      </c>
      <c r="C416" s="78" t="s">
        <v>246</v>
      </c>
      <c r="D416" s="128" t="s">
        <v>268</v>
      </c>
      <c r="E416" s="56" t="s">
        <v>136</v>
      </c>
      <c r="F416" s="56" t="s">
        <v>1442</v>
      </c>
      <c r="G416" s="56"/>
      <c r="H416" s="52" t="s">
        <v>243</v>
      </c>
      <c r="I416" s="52">
        <v>10</v>
      </c>
      <c r="J416" s="52">
        <v>110000000</v>
      </c>
      <c r="K416" s="56" t="s">
        <v>125</v>
      </c>
      <c r="L416" s="52" t="s">
        <v>1503</v>
      </c>
      <c r="M416" s="56" t="s">
        <v>125</v>
      </c>
      <c r="N416" s="52" t="s">
        <v>241</v>
      </c>
      <c r="O416" s="53" t="s">
        <v>1978</v>
      </c>
      <c r="P416" s="53" t="s">
        <v>1538</v>
      </c>
      <c r="Q416" s="52">
        <v>796</v>
      </c>
      <c r="R416" s="52" t="s">
        <v>1818</v>
      </c>
      <c r="S416" s="54">
        <v>66</v>
      </c>
      <c r="T416" s="54">
        <f t="shared" si="33"/>
        <v>424.34210526315792</v>
      </c>
      <c r="U416" s="54">
        <f t="shared" si="34"/>
        <v>28506.696428571428</v>
      </c>
      <c r="V416" s="54">
        <v>31927.5</v>
      </c>
      <c r="W416" s="52"/>
      <c r="X416" s="52">
        <v>2012</v>
      </c>
      <c r="Y416" s="52"/>
    </row>
    <row r="417" spans="2:25" s="55" customFormat="1" ht="114.75" outlineLevel="1">
      <c r="B417" s="52" t="s">
        <v>1649</v>
      </c>
      <c r="C417" s="78" t="s">
        <v>246</v>
      </c>
      <c r="D417" s="128" t="s">
        <v>265</v>
      </c>
      <c r="E417" s="56" t="s">
        <v>137</v>
      </c>
      <c r="F417" s="56" t="s">
        <v>1443</v>
      </c>
      <c r="G417" s="56"/>
      <c r="H417" s="52" t="s">
        <v>243</v>
      </c>
      <c r="I417" s="52">
        <v>10</v>
      </c>
      <c r="J417" s="52">
        <v>110000000</v>
      </c>
      <c r="K417" s="56" t="s">
        <v>125</v>
      </c>
      <c r="L417" s="52" t="s">
        <v>1503</v>
      </c>
      <c r="M417" s="56" t="s">
        <v>125</v>
      </c>
      <c r="N417" s="52" t="s">
        <v>241</v>
      </c>
      <c r="O417" s="53" t="s">
        <v>1978</v>
      </c>
      <c r="P417" s="53" t="s">
        <v>1538</v>
      </c>
      <c r="Q417" s="52">
        <v>796</v>
      </c>
      <c r="R417" s="52" t="s">
        <v>1818</v>
      </c>
      <c r="S417" s="54">
        <v>66</v>
      </c>
      <c r="T417" s="54">
        <f t="shared" si="33"/>
        <v>179.16666666666666</v>
      </c>
      <c r="U417" s="54">
        <f t="shared" si="34"/>
        <v>12036.160714285714</v>
      </c>
      <c r="V417" s="54">
        <v>13480.5</v>
      </c>
      <c r="W417" s="52"/>
      <c r="X417" s="52">
        <v>2012</v>
      </c>
      <c r="Y417" s="52"/>
    </row>
    <row r="418" spans="2:25" s="55" customFormat="1" ht="114.75" outlineLevel="1">
      <c r="B418" s="52" t="s">
        <v>1162</v>
      </c>
      <c r="C418" s="78" t="s">
        <v>246</v>
      </c>
      <c r="D418" s="128" t="s">
        <v>265</v>
      </c>
      <c r="E418" s="56" t="s">
        <v>138</v>
      </c>
      <c r="F418" s="56" t="s">
        <v>1444</v>
      </c>
      <c r="G418" s="56"/>
      <c r="H418" s="52" t="s">
        <v>243</v>
      </c>
      <c r="I418" s="52">
        <v>10</v>
      </c>
      <c r="J418" s="52">
        <v>110000000</v>
      </c>
      <c r="K418" s="56" t="s">
        <v>125</v>
      </c>
      <c r="L418" s="52" t="s">
        <v>1503</v>
      </c>
      <c r="M418" s="56" t="s">
        <v>125</v>
      </c>
      <c r="N418" s="52" t="s">
        <v>241</v>
      </c>
      <c r="O418" s="53" t="s">
        <v>1978</v>
      </c>
      <c r="P418" s="53" t="s">
        <v>1538</v>
      </c>
      <c r="Q418" s="52">
        <v>796</v>
      </c>
      <c r="R418" s="52" t="s">
        <v>1818</v>
      </c>
      <c r="S418" s="54">
        <v>11</v>
      </c>
      <c r="T418" s="54">
        <f t="shared" si="33"/>
        <v>141.44736842105263</v>
      </c>
      <c r="U418" s="54">
        <f t="shared" si="34"/>
        <v>1583.7053571428571</v>
      </c>
      <c r="V418" s="54">
        <v>1773.75</v>
      </c>
      <c r="W418" s="52"/>
      <c r="X418" s="52">
        <v>2012</v>
      </c>
      <c r="Y418" s="52"/>
    </row>
    <row r="419" spans="2:25" s="55" customFormat="1" ht="114.75" outlineLevel="1">
      <c r="B419" s="52" t="s">
        <v>1163</v>
      </c>
      <c r="C419" s="78" t="s">
        <v>246</v>
      </c>
      <c r="D419" s="128" t="s">
        <v>265</v>
      </c>
      <c r="E419" s="56" t="s">
        <v>139</v>
      </c>
      <c r="F419" s="56" t="s">
        <v>1445</v>
      </c>
      <c r="G419" s="56"/>
      <c r="H419" s="52" t="s">
        <v>243</v>
      </c>
      <c r="I419" s="52">
        <v>10</v>
      </c>
      <c r="J419" s="52">
        <v>110000000</v>
      </c>
      <c r="K419" s="56" t="s">
        <v>125</v>
      </c>
      <c r="L419" s="52" t="s">
        <v>1503</v>
      </c>
      <c r="M419" s="56" t="s">
        <v>125</v>
      </c>
      <c r="N419" s="52" t="s">
        <v>241</v>
      </c>
      <c r="O419" s="53" t="s">
        <v>1978</v>
      </c>
      <c r="P419" s="53" t="s">
        <v>1538</v>
      </c>
      <c r="Q419" s="52">
        <v>796</v>
      </c>
      <c r="R419" s="52" t="s">
        <v>1818</v>
      </c>
      <c r="S419" s="54">
        <v>66</v>
      </c>
      <c r="T419" s="54">
        <f t="shared" si="33"/>
        <v>99.01315789473685</v>
      </c>
      <c r="U419" s="54">
        <f t="shared" si="34"/>
        <v>6651.5625</v>
      </c>
      <c r="V419" s="54">
        <v>7449.75</v>
      </c>
      <c r="W419" s="52"/>
      <c r="X419" s="52">
        <v>2012</v>
      </c>
      <c r="Y419" s="52"/>
    </row>
    <row r="420" spans="2:25" s="55" customFormat="1" ht="114.75" outlineLevel="1">
      <c r="B420" s="52" t="s">
        <v>1164</v>
      </c>
      <c r="C420" s="78" t="s">
        <v>246</v>
      </c>
      <c r="D420" s="128" t="s">
        <v>265</v>
      </c>
      <c r="E420" s="56" t="s">
        <v>140</v>
      </c>
      <c r="F420" s="57" t="s">
        <v>1446</v>
      </c>
      <c r="G420" s="57"/>
      <c r="H420" s="52" t="s">
        <v>243</v>
      </c>
      <c r="I420" s="52">
        <v>10</v>
      </c>
      <c r="J420" s="52">
        <v>110000000</v>
      </c>
      <c r="K420" s="56" t="s">
        <v>125</v>
      </c>
      <c r="L420" s="52" t="s">
        <v>1503</v>
      </c>
      <c r="M420" s="56" t="s">
        <v>125</v>
      </c>
      <c r="N420" s="52" t="s">
        <v>241</v>
      </c>
      <c r="O420" s="53" t="s">
        <v>1978</v>
      </c>
      <c r="P420" s="53" t="s">
        <v>1538</v>
      </c>
      <c r="Q420" s="52">
        <v>796</v>
      </c>
      <c r="R420" s="52" t="s">
        <v>1818</v>
      </c>
      <c r="S420" s="54">
        <v>66</v>
      </c>
      <c r="T420" s="54">
        <f t="shared" si="33"/>
        <v>84.868421052631575</v>
      </c>
      <c r="U420" s="54">
        <f t="shared" si="34"/>
        <v>5701.3392857142853</v>
      </c>
      <c r="V420" s="54">
        <v>6385.5</v>
      </c>
      <c r="W420" s="52"/>
      <c r="X420" s="52">
        <v>2012</v>
      </c>
      <c r="Y420" s="52"/>
    </row>
    <row r="421" spans="2:25" s="55" customFormat="1" ht="114.75" outlineLevel="1">
      <c r="B421" s="52" t="s">
        <v>1165</v>
      </c>
      <c r="C421" s="78" t="s">
        <v>246</v>
      </c>
      <c r="D421" s="56" t="s">
        <v>265</v>
      </c>
      <c r="E421" s="56" t="s">
        <v>141</v>
      </c>
      <c r="F421" s="57" t="s">
        <v>1447</v>
      </c>
      <c r="G421" s="57"/>
      <c r="H421" s="52" t="s">
        <v>243</v>
      </c>
      <c r="I421" s="52">
        <v>10</v>
      </c>
      <c r="J421" s="52">
        <v>110000000</v>
      </c>
      <c r="K421" s="56" t="s">
        <v>125</v>
      </c>
      <c r="L421" s="52" t="s">
        <v>1503</v>
      </c>
      <c r="M421" s="56" t="s">
        <v>125</v>
      </c>
      <c r="N421" s="52" t="s">
        <v>241</v>
      </c>
      <c r="O421" s="53" t="s">
        <v>1978</v>
      </c>
      <c r="P421" s="53" t="s">
        <v>1538</v>
      </c>
      <c r="Q421" s="52">
        <v>796</v>
      </c>
      <c r="R421" s="52" t="s">
        <v>1818</v>
      </c>
      <c r="S421" s="54">
        <v>22</v>
      </c>
      <c r="T421" s="54">
        <f t="shared" si="33"/>
        <v>471.49122807017551</v>
      </c>
      <c r="U421" s="54">
        <f t="shared" si="34"/>
        <v>10558.035714285714</v>
      </c>
      <c r="V421" s="54">
        <v>11825</v>
      </c>
      <c r="W421" s="52"/>
      <c r="X421" s="52">
        <v>2012</v>
      </c>
      <c r="Y421" s="52"/>
    </row>
    <row r="422" spans="2:25" s="55" customFormat="1" ht="114.75" outlineLevel="1">
      <c r="B422" s="52" t="s">
        <v>1166</v>
      </c>
      <c r="C422" s="78" t="s">
        <v>246</v>
      </c>
      <c r="D422" s="56" t="s">
        <v>265</v>
      </c>
      <c r="E422" s="56" t="s">
        <v>142</v>
      </c>
      <c r="F422" s="53" t="s">
        <v>1448</v>
      </c>
      <c r="G422" s="53"/>
      <c r="H422" s="52" t="s">
        <v>243</v>
      </c>
      <c r="I422" s="52">
        <v>10</v>
      </c>
      <c r="J422" s="52">
        <v>110000000</v>
      </c>
      <c r="K422" s="56" t="s">
        <v>125</v>
      </c>
      <c r="L422" s="52" t="s">
        <v>1503</v>
      </c>
      <c r="M422" s="56" t="s">
        <v>125</v>
      </c>
      <c r="N422" s="52" t="s">
        <v>241</v>
      </c>
      <c r="O422" s="53" t="s">
        <v>1978</v>
      </c>
      <c r="P422" s="53" t="s">
        <v>1538</v>
      </c>
      <c r="Q422" s="52">
        <v>796</v>
      </c>
      <c r="R422" s="52" t="s">
        <v>1818</v>
      </c>
      <c r="S422" s="54">
        <v>44</v>
      </c>
      <c r="T422" s="54">
        <f t="shared" si="33"/>
        <v>113.1578947368421</v>
      </c>
      <c r="U422" s="54">
        <f t="shared" si="34"/>
        <v>5067.8571428571431</v>
      </c>
      <c r="V422" s="54">
        <v>5676</v>
      </c>
      <c r="W422" s="52"/>
      <c r="X422" s="52">
        <v>2012</v>
      </c>
      <c r="Y422" s="52"/>
    </row>
    <row r="423" spans="2:25" s="55" customFormat="1" ht="114.75" outlineLevel="1">
      <c r="B423" s="52" t="s">
        <v>1167</v>
      </c>
      <c r="C423" s="78" t="s">
        <v>246</v>
      </c>
      <c r="D423" s="128" t="s">
        <v>265</v>
      </c>
      <c r="E423" s="56" t="s">
        <v>143</v>
      </c>
      <c r="F423" s="56" t="s">
        <v>1449</v>
      </c>
      <c r="G423" s="56"/>
      <c r="H423" s="52" t="s">
        <v>243</v>
      </c>
      <c r="I423" s="52">
        <v>10</v>
      </c>
      <c r="J423" s="52">
        <v>110000000</v>
      </c>
      <c r="K423" s="56" t="s">
        <v>125</v>
      </c>
      <c r="L423" s="52" t="s">
        <v>1503</v>
      </c>
      <c r="M423" s="56" t="s">
        <v>125</v>
      </c>
      <c r="N423" s="52" t="s">
        <v>241</v>
      </c>
      <c r="O423" s="53" t="s">
        <v>1978</v>
      </c>
      <c r="P423" s="53" t="s">
        <v>1538</v>
      </c>
      <c r="Q423" s="52">
        <v>796</v>
      </c>
      <c r="R423" s="52" t="s">
        <v>1818</v>
      </c>
      <c r="S423" s="54">
        <v>44</v>
      </c>
      <c r="T423" s="54">
        <f t="shared" si="33"/>
        <v>84.868421052631575</v>
      </c>
      <c r="U423" s="54">
        <f t="shared" si="34"/>
        <v>3800.8928571428569</v>
      </c>
      <c r="V423" s="54">
        <v>4257</v>
      </c>
      <c r="W423" s="52"/>
      <c r="X423" s="52">
        <v>2012</v>
      </c>
      <c r="Y423" s="52"/>
    </row>
    <row r="424" spans="2:25" s="55" customFormat="1" ht="114.75" outlineLevel="1">
      <c r="B424" s="52" t="s">
        <v>1168</v>
      </c>
      <c r="C424" s="78" t="s">
        <v>246</v>
      </c>
      <c r="D424" s="128" t="s">
        <v>265</v>
      </c>
      <c r="E424" s="56" t="s">
        <v>144</v>
      </c>
      <c r="F424" s="56" t="s">
        <v>1450</v>
      </c>
      <c r="G424" s="56"/>
      <c r="H424" s="52" t="s">
        <v>243</v>
      </c>
      <c r="I424" s="52">
        <v>10</v>
      </c>
      <c r="J424" s="52">
        <v>110000000</v>
      </c>
      <c r="K424" s="56" t="s">
        <v>125</v>
      </c>
      <c r="L424" s="52" t="s">
        <v>1503</v>
      </c>
      <c r="M424" s="56" t="s">
        <v>125</v>
      </c>
      <c r="N424" s="52" t="s">
        <v>241</v>
      </c>
      <c r="O424" s="53" t="s">
        <v>1978</v>
      </c>
      <c r="P424" s="53" t="s">
        <v>1538</v>
      </c>
      <c r="Q424" s="52">
        <v>796</v>
      </c>
      <c r="R424" s="52" t="s">
        <v>1818</v>
      </c>
      <c r="S424" s="54">
        <v>44</v>
      </c>
      <c r="T424" s="54">
        <f t="shared" si="33"/>
        <v>47.149122807017541</v>
      </c>
      <c r="U424" s="54">
        <f t="shared" si="34"/>
        <v>2111.6071428571427</v>
      </c>
      <c r="V424" s="54">
        <v>2365</v>
      </c>
      <c r="W424" s="52"/>
      <c r="X424" s="52">
        <v>2012</v>
      </c>
      <c r="Y424" s="52"/>
    </row>
    <row r="425" spans="2:25" s="55" customFormat="1" ht="114.75" outlineLevel="1">
      <c r="B425" s="52" t="s">
        <v>1169</v>
      </c>
      <c r="C425" s="78" t="s">
        <v>246</v>
      </c>
      <c r="D425" s="128" t="s">
        <v>265</v>
      </c>
      <c r="E425" s="56" t="s">
        <v>145</v>
      </c>
      <c r="F425" s="56" t="s">
        <v>1451</v>
      </c>
      <c r="G425" s="56"/>
      <c r="H425" s="52" t="s">
        <v>243</v>
      </c>
      <c r="I425" s="52">
        <v>10</v>
      </c>
      <c r="J425" s="52">
        <v>110000000</v>
      </c>
      <c r="K425" s="56" t="s">
        <v>125</v>
      </c>
      <c r="L425" s="52" t="s">
        <v>1503</v>
      </c>
      <c r="M425" s="56" t="s">
        <v>125</v>
      </c>
      <c r="N425" s="52" t="s">
        <v>241</v>
      </c>
      <c r="O425" s="53" t="s">
        <v>1978</v>
      </c>
      <c r="P425" s="53" t="s">
        <v>1538</v>
      </c>
      <c r="Q425" s="52">
        <v>796</v>
      </c>
      <c r="R425" s="52" t="s">
        <v>1818</v>
      </c>
      <c r="S425" s="54">
        <v>22</v>
      </c>
      <c r="T425" s="54">
        <f t="shared" si="33"/>
        <v>264.03508771929825</v>
      </c>
      <c r="U425" s="54">
        <f t="shared" si="34"/>
        <v>5912.5</v>
      </c>
      <c r="V425" s="54">
        <v>6622</v>
      </c>
      <c r="W425" s="52"/>
      <c r="X425" s="52">
        <v>2012</v>
      </c>
      <c r="Y425" s="52"/>
    </row>
    <row r="426" spans="2:25" s="55" customFormat="1" ht="114.75" outlineLevel="1">
      <c r="B426" s="52" t="s">
        <v>1170</v>
      </c>
      <c r="C426" s="78" t="s">
        <v>246</v>
      </c>
      <c r="D426" s="128" t="s">
        <v>265</v>
      </c>
      <c r="E426" s="56" t="s">
        <v>146</v>
      </c>
      <c r="F426" s="57" t="s">
        <v>1452</v>
      </c>
      <c r="G426" s="57"/>
      <c r="H426" s="52" t="s">
        <v>243</v>
      </c>
      <c r="I426" s="52">
        <v>10</v>
      </c>
      <c r="J426" s="52">
        <v>110000000</v>
      </c>
      <c r="K426" s="56" t="s">
        <v>125</v>
      </c>
      <c r="L426" s="52" t="s">
        <v>1503</v>
      </c>
      <c r="M426" s="56" t="s">
        <v>125</v>
      </c>
      <c r="N426" s="52" t="s">
        <v>241</v>
      </c>
      <c r="O426" s="53" t="s">
        <v>1978</v>
      </c>
      <c r="P426" s="53" t="s">
        <v>1538</v>
      </c>
      <c r="Q426" s="52">
        <v>796</v>
      </c>
      <c r="R426" s="52" t="s">
        <v>1818</v>
      </c>
      <c r="S426" s="54">
        <v>2.2000000000000002</v>
      </c>
      <c r="T426" s="54">
        <f t="shared" si="33"/>
        <v>2357.4561403508778</v>
      </c>
      <c r="U426" s="54">
        <f t="shared" si="34"/>
        <v>5279.0178571428578</v>
      </c>
      <c r="V426" s="54">
        <v>5912.5000000000009</v>
      </c>
      <c r="W426" s="52"/>
      <c r="X426" s="52">
        <v>2012</v>
      </c>
      <c r="Y426" s="52"/>
    </row>
    <row r="427" spans="2:25" s="55" customFormat="1" ht="114.75" outlineLevel="1">
      <c r="B427" s="52" t="s">
        <v>1171</v>
      </c>
      <c r="C427" s="78" t="s">
        <v>246</v>
      </c>
      <c r="D427" s="128" t="s">
        <v>265</v>
      </c>
      <c r="E427" s="56" t="s">
        <v>147</v>
      </c>
      <c r="F427" s="53" t="s">
        <v>1454</v>
      </c>
      <c r="G427" s="53"/>
      <c r="H427" s="52" t="s">
        <v>243</v>
      </c>
      <c r="I427" s="52">
        <v>10</v>
      </c>
      <c r="J427" s="52">
        <v>110000000</v>
      </c>
      <c r="K427" s="56" t="s">
        <v>125</v>
      </c>
      <c r="L427" s="52" t="s">
        <v>1503</v>
      </c>
      <c r="M427" s="56" t="s">
        <v>125</v>
      </c>
      <c r="N427" s="52" t="s">
        <v>241</v>
      </c>
      <c r="O427" s="53" t="s">
        <v>1978</v>
      </c>
      <c r="P427" s="53" t="s">
        <v>1538</v>
      </c>
      <c r="Q427" s="52">
        <v>796</v>
      </c>
      <c r="R427" s="52" t="s">
        <v>1818</v>
      </c>
      <c r="S427" s="54">
        <v>264</v>
      </c>
      <c r="T427" s="54">
        <f t="shared" si="33"/>
        <v>28.289473684210527</v>
      </c>
      <c r="U427" s="54">
        <f t="shared" si="34"/>
        <v>7601.7857142857138</v>
      </c>
      <c r="V427" s="54">
        <v>8514</v>
      </c>
      <c r="W427" s="52"/>
      <c r="X427" s="52">
        <v>2012</v>
      </c>
      <c r="Y427" s="52"/>
    </row>
    <row r="428" spans="2:25" s="55" customFormat="1" ht="114.75" outlineLevel="1">
      <c r="B428" s="52" t="s">
        <v>1172</v>
      </c>
      <c r="C428" s="78" t="s">
        <v>246</v>
      </c>
      <c r="D428" s="128" t="s">
        <v>265</v>
      </c>
      <c r="E428" s="56" t="s">
        <v>148</v>
      </c>
      <c r="F428" s="57" t="s">
        <v>148</v>
      </c>
      <c r="G428" s="57"/>
      <c r="H428" s="52" t="s">
        <v>243</v>
      </c>
      <c r="I428" s="52">
        <v>10</v>
      </c>
      <c r="J428" s="52">
        <v>110000000</v>
      </c>
      <c r="K428" s="56" t="s">
        <v>125</v>
      </c>
      <c r="L428" s="52" t="s">
        <v>1503</v>
      </c>
      <c r="M428" s="56" t="s">
        <v>125</v>
      </c>
      <c r="N428" s="52" t="s">
        <v>241</v>
      </c>
      <c r="O428" s="53" t="s">
        <v>1978</v>
      </c>
      <c r="P428" s="53" t="s">
        <v>1538</v>
      </c>
      <c r="Q428" s="52">
        <v>796</v>
      </c>
      <c r="R428" s="52" t="s">
        <v>1818</v>
      </c>
      <c r="S428" s="54">
        <v>11</v>
      </c>
      <c r="T428" s="54">
        <f t="shared" si="33"/>
        <v>631.79824561403518</v>
      </c>
      <c r="U428" s="54">
        <f t="shared" si="34"/>
        <v>7073.8839285714294</v>
      </c>
      <c r="V428" s="54">
        <v>7922.75</v>
      </c>
      <c r="W428" s="52"/>
      <c r="X428" s="52">
        <v>2012</v>
      </c>
      <c r="Y428" s="52"/>
    </row>
    <row r="429" spans="2:25" s="55" customFormat="1" ht="114.75" outlineLevel="1">
      <c r="B429" s="52" t="s">
        <v>1173</v>
      </c>
      <c r="C429" s="78" t="s">
        <v>246</v>
      </c>
      <c r="D429" s="128" t="s">
        <v>265</v>
      </c>
      <c r="E429" s="56" t="s">
        <v>149</v>
      </c>
      <c r="F429" s="57" t="s">
        <v>1453</v>
      </c>
      <c r="G429" s="57"/>
      <c r="H429" s="52" t="s">
        <v>243</v>
      </c>
      <c r="I429" s="52">
        <v>10</v>
      </c>
      <c r="J429" s="52">
        <v>110000000</v>
      </c>
      <c r="K429" s="56" t="s">
        <v>125</v>
      </c>
      <c r="L429" s="52" t="s">
        <v>1503</v>
      </c>
      <c r="M429" s="56" t="s">
        <v>125</v>
      </c>
      <c r="N429" s="52" t="s">
        <v>241</v>
      </c>
      <c r="O429" s="53" t="s">
        <v>1978</v>
      </c>
      <c r="P429" s="53" t="s">
        <v>1538</v>
      </c>
      <c r="Q429" s="52">
        <v>796</v>
      </c>
      <c r="R429" s="52" t="s">
        <v>1818</v>
      </c>
      <c r="S429" s="54">
        <v>132</v>
      </c>
      <c r="T429" s="54">
        <f t="shared" si="33"/>
        <v>28.289473684210527</v>
      </c>
      <c r="U429" s="54">
        <f t="shared" si="34"/>
        <v>3800.8928571428569</v>
      </c>
      <c r="V429" s="54">
        <v>4257</v>
      </c>
      <c r="W429" s="52"/>
      <c r="X429" s="52">
        <v>2012</v>
      </c>
      <c r="Y429" s="52"/>
    </row>
    <row r="430" spans="2:25" s="55" customFormat="1" ht="165.75" outlineLevel="1">
      <c r="B430" s="52" t="s">
        <v>1174</v>
      </c>
      <c r="C430" s="78" t="s">
        <v>246</v>
      </c>
      <c r="D430" s="77">
        <v>27015</v>
      </c>
      <c r="E430" s="56" t="s">
        <v>2325</v>
      </c>
      <c r="F430" s="56" t="s">
        <v>2324</v>
      </c>
      <c r="G430" s="56"/>
      <c r="H430" s="52" t="s">
        <v>243</v>
      </c>
      <c r="I430" s="52">
        <v>10</v>
      </c>
      <c r="J430" s="52">
        <v>150000000</v>
      </c>
      <c r="K430" s="56" t="s">
        <v>126</v>
      </c>
      <c r="L430" s="52" t="s">
        <v>1503</v>
      </c>
      <c r="M430" s="56" t="s">
        <v>126</v>
      </c>
      <c r="N430" s="52" t="s">
        <v>241</v>
      </c>
      <c r="O430" s="53" t="s">
        <v>1978</v>
      </c>
      <c r="P430" s="53" t="s">
        <v>1538</v>
      </c>
      <c r="Q430" s="52">
        <v>5111</v>
      </c>
      <c r="R430" s="52" t="s">
        <v>1434</v>
      </c>
      <c r="S430" s="54">
        <v>240</v>
      </c>
      <c r="T430" s="54">
        <f t="shared" si="33"/>
        <v>565.78947368421052</v>
      </c>
      <c r="U430" s="54">
        <f t="shared" si="34"/>
        <v>138214.28571428571</v>
      </c>
      <c r="V430" s="54">
        <v>154800</v>
      </c>
      <c r="W430" s="52"/>
      <c r="X430" s="52">
        <v>2012</v>
      </c>
      <c r="Y430" s="52"/>
    </row>
    <row r="431" spans="2:25" s="55" customFormat="1" ht="114.75" outlineLevel="1">
      <c r="B431" s="52" t="s">
        <v>1175</v>
      </c>
      <c r="C431" s="78" t="s">
        <v>246</v>
      </c>
      <c r="D431" s="56" t="s">
        <v>263</v>
      </c>
      <c r="E431" s="56" t="s">
        <v>130</v>
      </c>
      <c r="F431" s="56" t="s">
        <v>1438</v>
      </c>
      <c r="G431" s="56"/>
      <c r="H431" s="52" t="s">
        <v>243</v>
      </c>
      <c r="I431" s="52">
        <v>10</v>
      </c>
      <c r="J431" s="52">
        <v>150000000</v>
      </c>
      <c r="K431" s="56" t="s">
        <v>126</v>
      </c>
      <c r="L431" s="52" t="s">
        <v>1503</v>
      </c>
      <c r="M431" s="56" t="s">
        <v>126</v>
      </c>
      <c r="N431" s="52" t="s">
        <v>241</v>
      </c>
      <c r="O431" s="53" t="s">
        <v>1978</v>
      </c>
      <c r="P431" s="53" t="s">
        <v>1538</v>
      </c>
      <c r="Q431" s="52">
        <v>736</v>
      </c>
      <c r="R431" s="52" t="s">
        <v>1435</v>
      </c>
      <c r="S431" s="54">
        <v>20</v>
      </c>
      <c r="T431" s="54">
        <f t="shared" ref="T431:T491" si="35">V431/114*100/S431</f>
        <v>216.88596491228068</v>
      </c>
      <c r="U431" s="54">
        <f t="shared" si="34"/>
        <v>4415.1785714285716</v>
      </c>
      <c r="V431" s="54">
        <v>4945</v>
      </c>
      <c r="W431" s="52"/>
      <c r="X431" s="52">
        <v>2012</v>
      </c>
      <c r="Y431" s="52"/>
    </row>
    <row r="432" spans="2:25" s="55" customFormat="1" ht="114.75" outlineLevel="1">
      <c r="B432" s="52" t="s">
        <v>1176</v>
      </c>
      <c r="C432" s="78" t="s">
        <v>246</v>
      </c>
      <c r="D432" s="128" t="s">
        <v>265</v>
      </c>
      <c r="E432" s="56" t="s">
        <v>131</v>
      </c>
      <c r="F432" s="53" t="s">
        <v>1456</v>
      </c>
      <c r="G432" s="53"/>
      <c r="H432" s="52" t="s">
        <v>243</v>
      </c>
      <c r="I432" s="52">
        <v>10</v>
      </c>
      <c r="J432" s="52">
        <v>150000000</v>
      </c>
      <c r="K432" s="56" t="s">
        <v>126</v>
      </c>
      <c r="L432" s="52" t="s">
        <v>1503</v>
      </c>
      <c r="M432" s="56" t="s">
        <v>126</v>
      </c>
      <c r="N432" s="52" t="s">
        <v>241</v>
      </c>
      <c r="O432" s="53" t="s">
        <v>1978</v>
      </c>
      <c r="P432" s="53" t="s">
        <v>1538</v>
      </c>
      <c r="Q432" s="52">
        <v>796</v>
      </c>
      <c r="R432" s="52" t="s">
        <v>1818</v>
      </c>
      <c r="S432" s="54">
        <v>40</v>
      </c>
      <c r="T432" s="54">
        <f t="shared" si="35"/>
        <v>103.7280701754386</v>
      </c>
      <c r="U432" s="54">
        <f t="shared" si="34"/>
        <v>4223.2142857142853</v>
      </c>
      <c r="V432" s="54">
        <v>4730</v>
      </c>
      <c r="W432" s="52"/>
      <c r="X432" s="52">
        <v>2012</v>
      </c>
      <c r="Y432" s="52"/>
    </row>
    <row r="433" spans="2:25" s="55" customFormat="1" ht="114.75" outlineLevel="1">
      <c r="B433" s="52" t="s">
        <v>1177</v>
      </c>
      <c r="C433" s="78" t="s">
        <v>246</v>
      </c>
      <c r="D433" s="128" t="s">
        <v>265</v>
      </c>
      <c r="E433" s="56" t="s">
        <v>132</v>
      </c>
      <c r="F433" s="56" t="s">
        <v>1439</v>
      </c>
      <c r="G433" s="56"/>
      <c r="H433" s="52" t="s">
        <v>243</v>
      </c>
      <c r="I433" s="52">
        <v>10</v>
      </c>
      <c r="J433" s="52">
        <v>150000000</v>
      </c>
      <c r="K433" s="56" t="s">
        <v>126</v>
      </c>
      <c r="L433" s="52" t="s">
        <v>1503</v>
      </c>
      <c r="M433" s="56" t="s">
        <v>126</v>
      </c>
      <c r="N433" s="52" t="s">
        <v>241</v>
      </c>
      <c r="O433" s="53" t="s">
        <v>1978</v>
      </c>
      <c r="P433" s="53" t="s">
        <v>1538</v>
      </c>
      <c r="Q433" s="52">
        <v>796</v>
      </c>
      <c r="R433" s="52" t="s">
        <v>1818</v>
      </c>
      <c r="S433" s="54">
        <v>40</v>
      </c>
      <c r="T433" s="54">
        <f t="shared" si="35"/>
        <v>141.44736842105266</v>
      </c>
      <c r="U433" s="54">
        <f t="shared" si="34"/>
        <v>5758.9285714285716</v>
      </c>
      <c r="V433" s="54">
        <v>6450</v>
      </c>
      <c r="W433" s="52"/>
      <c r="X433" s="52">
        <v>2012</v>
      </c>
      <c r="Y433" s="52"/>
    </row>
    <row r="434" spans="2:25" s="55" customFormat="1" ht="114.75" outlineLevel="1">
      <c r="B434" s="52" t="s">
        <v>1178</v>
      </c>
      <c r="C434" s="78" t="s">
        <v>246</v>
      </c>
      <c r="D434" s="128" t="s">
        <v>265</v>
      </c>
      <c r="E434" s="56" t="s">
        <v>133</v>
      </c>
      <c r="F434" s="56" t="s">
        <v>1440</v>
      </c>
      <c r="G434" s="56"/>
      <c r="H434" s="52" t="s">
        <v>243</v>
      </c>
      <c r="I434" s="52">
        <v>10</v>
      </c>
      <c r="J434" s="52">
        <v>150000000</v>
      </c>
      <c r="K434" s="56" t="s">
        <v>126</v>
      </c>
      <c r="L434" s="52" t="s">
        <v>1503</v>
      </c>
      <c r="M434" s="56" t="s">
        <v>126</v>
      </c>
      <c r="N434" s="52" t="s">
        <v>241</v>
      </c>
      <c r="O434" s="53" t="s">
        <v>1978</v>
      </c>
      <c r="P434" s="53" t="s">
        <v>1538</v>
      </c>
      <c r="Q434" s="52">
        <v>796</v>
      </c>
      <c r="R434" s="52" t="s">
        <v>1818</v>
      </c>
      <c r="S434" s="54">
        <v>40</v>
      </c>
      <c r="T434" s="54">
        <f t="shared" si="35"/>
        <v>89.583333333333343</v>
      </c>
      <c r="U434" s="54">
        <f t="shared" si="34"/>
        <v>3647.3214285714284</v>
      </c>
      <c r="V434" s="54">
        <v>4085</v>
      </c>
      <c r="W434" s="52"/>
      <c r="X434" s="52">
        <v>2012</v>
      </c>
      <c r="Y434" s="52"/>
    </row>
    <row r="435" spans="2:25" s="55" customFormat="1" ht="114.75" outlineLevel="1">
      <c r="B435" s="52" t="s">
        <v>1179</v>
      </c>
      <c r="C435" s="78" t="s">
        <v>246</v>
      </c>
      <c r="D435" s="128" t="s">
        <v>265</v>
      </c>
      <c r="E435" s="56" t="s">
        <v>134</v>
      </c>
      <c r="F435" s="53" t="s">
        <v>1455</v>
      </c>
      <c r="G435" s="53"/>
      <c r="H435" s="52" t="s">
        <v>243</v>
      </c>
      <c r="I435" s="52">
        <v>10</v>
      </c>
      <c r="J435" s="52">
        <v>150000000</v>
      </c>
      <c r="K435" s="56" t="s">
        <v>126</v>
      </c>
      <c r="L435" s="52" t="s">
        <v>1503</v>
      </c>
      <c r="M435" s="56" t="s">
        <v>126</v>
      </c>
      <c r="N435" s="52" t="s">
        <v>241</v>
      </c>
      <c r="O435" s="53" t="s">
        <v>1978</v>
      </c>
      <c r="P435" s="53" t="s">
        <v>1538</v>
      </c>
      <c r="Q435" s="52">
        <v>704</v>
      </c>
      <c r="R435" s="52" t="s">
        <v>1436</v>
      </c>
      <c r="S435" s="54">
        <v>10</v>
      </c>
      <c r="T435" s="54">
        <f t="shared" si="35"/>
        <v>1131.5789473684213</v>
      </c>
      <c r="U435" s="54">
        <f t="shared" si="34"/>
        <v>11517.857142857143</v>
      </c>
      <c r="V435" s="54">
        <v>12900</v>
      </c>
      <c r="W435" s="52"/>
      <c r="X435" s="52">
        <v>2012</v>
      </c>
      <c r="Y435" s="52"/>
    </row>
    <row r="436" spans="2:25" s="55" customFormat="1" ht="114.75" outlineLevel="1">
      <c r="B436" s="52" t="s">
        <v>1180</v>
      </c>
      <c r="C436" s="78" t="s">
        <v>246</v>
      </c>
      <c r="D436" s="128" t="s">
        <v>265</v>
      </c>
      <c r="E436" s="56" t="s">
        <v>135</v>
      </c>
      <c r="F436" s="56" t="s">
        <v>1441</v>
      </c>
      <c r="G436" s="56"/>
      <c r="H436" s="52" t="s">
        <v>243</v>
      </c>
      <c r="I436" s="52">
        <v>10</v>
      </c>
      <c r="J436" s="52">
        <v>150000000</v>
      </c>
      <c r="K436" s="56" t="s">
        <v>126</v>
      </c>
      <c r="L436" s="52" t="s">
        <v>1503</v>
      </c>
      <c r="M436" s="56" t="s">
        <v>126</v>
      </c>
      <c r="N436" s="52" t="s">
        <v>241</v>
      </c>
      <c r="O436" s="53" t="s">
        <v>1978</v>
      </c>
      <c r="P436" s="53" t="s">
        <v>1538</v>
      </c>
      <c r="Q436" s="52">
        <v>796</v>
      </c>
      <c r="R436" s="52" t="s">
        <v>1818</v>
      </c>
      <c r="S436" s="54">
        <v>240</v>
      </c>
      <c r="T436" s="54">
        <f t="shared" si="35"/>
        <v>9.4298245614035086</v>
      </c>
      <c r="U436" s="54">
        <f t="shared" si="34"/>
        <v>2303.5714285714284</v>
      </c>
      <c r="V436" s="54">
        <v>2580</v>
      </c>
      <c r="W436" s="52"/>
      <c r="X436" s="52">
        <v>2012</v>
      </c>
      <c r="Y436" s="52"/>
    </row>
    <row r="437" spans="2:25" s="55" customFormat="1" ht="114.75" outlineLevel="1">
      <c r="B437" s="52" t="s">
        <v>1181</v>
      </c>
      <c r="C437" s="78" t="s">
        <v>246</v>
      </c>
      <c r="D437" s="128" t="s">
        <v>268</v>
      </c>
      <c r="E437" s="56" t="s">
        <v>136</v>
      </c>
      <c r="F437" s="56" t="s">
        <v>1442</v>
      </c>
      <c r="G437" s="56"/>
      <c r="H437" s="52" t="s">
        <v>243</v>
      </c>
      <c r="I437" s="52">
        <v>10</v>
      </c>
      <c r="J437" s="52">
        <v>150000000</v>
      </c>
      <c r="K437" s="56" t="s">
        <v>126</v>
      </c>
      <c r="L437" s="52" t="s">
        <v>1503</v>
      </c>
      <c r="M437" s="56" t="s">
        <v>126</v>
      </c>
      <c r="N437" s="52" t="s">
        <v>241</v>
      </c>
      <c r="O437" s="53" t="s">
        <v>1978</v>
      </c>
      <c r="P437" s="53" t="s">
        <v>1538</v>
      </c>
      <c r="Q437" s="52">
        <v>796</v>
      </c>
      <c r="R437" s="52" t="s">
        <v>1818</v>
      </c>
      <c r="S437" s="54">
        <v>60</v>
      </c>
      <c r="T437" s="54">
        <f t="shared" si="35"/>
        <v>424.34210526315786</v>
      </c>
      <c r="U437" s="54">
        <f t="shared" si="34"/>
        <v>25915.178571428572</v>
      </c>
      <c r="V437" s="54">
        <v>29025</v>
      </c>
      <c r="W437" s="52"/>
      <c r="X437" s="52">
        <v>2012</v>
      </c>
      <c r="Y437" s="52"/>
    </row>
    <row r="438" spans="2:25" s="55" customFormat="1" ht="114.75" outlineLevel="1">
      <c r="B438" s="52" t="s">
        <v>1182</v>
      </c>
      <c r="C438" s="78" t="s">
        <v>246</v>
      </c>
      <c r="D438" s="128" t="s">
        <v>265</v>
      </c>
      <c r="E438" s="56" t="s">
        <v>137</v>
      </c>
      <c r="F438" s="56" t="s">
        <v>1443</v>
      </c>
      <c r="G438" s="56"/>
      <c r="H438" s="52" t="s">
        <v>243</v>
      </c>
      <c r="I438" s="52">
        <v>10</v>
      </c>
      <c r="J438" s="52">
        <v>150000000</v>
      </c>
      <c r="K438" s="56" t="s">
        <v>126</v>
      </c>
      <c r="L438" s="52" t="s">
        <v>1503</v>
      </c>
      <c r="M438" s="56" t="s">
        <v>126</v>
      </c>
      <c r="N438" s="52" t="s">
        <v>241</v>
      </c>
      <c r="O438" s="53" t="s">
        <v>1978</v>
      </c>
      <c r="P438" s="53" t="s">
        <v>1538</v>
      </c>
      <c r="Q438" s="52">
        <v>796</v>
      </c>
      <c r="R438" s="52" t="s">
        <v>1818</v>
      </c>
      <c r="S438" s="54">
        <v>60</v>
      </c>
      <c r="T438" s="54">
        <f t="shared" si="35"/>
        <v>179.16666666666666</v>
      </c>
      <c r="U438" s="54">
        <f t="shared" ref="U438:U501" si="36">V438/112*100</f>
        <v>10941.964285714286</v>
      </c>
      <c r="V438" s="54">
        <v>12255</v>
      </c>
      <c r="W438" s="52"/>
      <c r="X438" s="52">
        <v>2012</v>
      </c>
      <c r="Y438" s="52"/>
    </row>
    <row r="439" spans="2:25" s="55" customFormat="1" ht="114.75" outlineLevel="1">
      <c r="B439" s="52" t="s">
        <v>1650</v>
      </c>
      <c r="C439" s="78" t="s">
        <v>246</v>
      </c>
      <c r="D439" s="128" t="s">
        <v>265</v>
      </c>
      <c r="E439" s="56" t="s">
        <v>138</v>
      </c>
      <c r="F439" s="56" t="s">
        <v>1444</v>
      </c>
      <c r="G439" s="56"/>
      <c r="H439" s="52" t="s">
        <v>243</v>
      </c>
      <c r="I439" s="52">
        <v>10</v>
      </c>
      <c r="J439" s="52">
        <v>150000000</v>
      </c>
      <c r="K439" s="56" t="s">
        <v>126</v>
      </c>
      <c r="L439" s="52" t="s">
        <v>1503</v>
      </c>
      <c r="M439" s="56" t="s">
        <v>126</v>
      </c>
      <c r="N439" s="52" t="s">
        <v>241</v>
      </c>
      <c r="O439" s="53" t="s">
        <v>1978</v>
      </c>
      <c r="P439" s="53" t="s">
        <v>1538</v>
      </c>
      <c r="Q439" s="52">
        <v>796</v>
      </c>
      <c r="R439" s="52" t="s">
        <v>1818</v>
      </c>
      <c r="S439" s="54">
        <v>10</v>
      </c>
      <c r="T439" s="54">
        <f t="shared" si="35"/>
        <v>141.44736842105266</v>
      </c>
      <c r="U439" s="54">
        <f t="shared" si="36"/>
        <v>1439.7321428571429</v>
      </c>
      <c r="V439" s="54">
        <v>1612.5</v>
      </c>
      <c r="W439" s="52"/>
      <c r="X439" s="52">
        <v>2012</v>
      </c>
      <c r="Y439" s="52"/>
    </row>
    <row r="440" spans="2:25" s="55" customFormat="1" ht="114.75" outlineLevel="1">
      <c r="B440" s="52" t="s">
        <v>1183</v>
      </c>
      <c r="C440" s="78" t="s">
        <v>246</v>
      </c>
      <c r="D440" s="128" t="s">
        <v>265</v>
      </c>
      <c r="E440" s="56" t="s">
        <v>139</v>
      </c>
      <c r="F440" s="56" t="s">
        <v>1445</v>
      </c>
      <c r="G440" s="56"/>
      <c r="H440" s="52" t="s">
        <v>243</v>
      </c>
      <c r="I440" s="52">
        <v>10</v>
      </c>
      <c r="J440" s="52">
        <v>150000000</v>
      </c>
      <c r="K440" s="56" t="s">
        <v>126</v>
      </c>
      <c r="L440" s="52" t="s">
        <v>1503</v>
      </c>
      <c r="M440" s="56" t="s">
        <v>126</v>
      </c>
      <c r="N440" s="52" t="s">
        <v>241</v>
      </c>
      <c r="O440" s="53" t="s">
        <v>1978</v>
      </c>
      <c r="P440" s="53" t="s">
        <v>1538</v>
      </c>
      <c r="Q440" s="52">
        <v>796</v>
      </c>
      <c r="R440" s="52" t="s">
        <v>1818</v>
      </c>
      <c r="S440" s="54">
        <v>60</v>
      </c>
      <c r="T440" s="54">
        <f t="shared" si="35"/>
        <v>99.013157894736835</v>
      </c>
      <c r="U440" s="54">
        <f t="shared" si="36"/>
        <v>6046.875</v>
      </c>
      <c r="V440" s="54">
        <v>6772.5</v>
      </c>
      <c r="W440" s="52"/>
      <c r="X440" s="52">
        <v>2012</v>
      </c>
      <c r="Y440" s="52"/>
    </row>
    <row r="441" spans="2:25" s="55" customFormat="1" ht="114.75" outlineLevel="1">
      <c r="B441" s="52" t="s">
        <v>1184</v>
      </c>
      <c r="C441" s="78" t="s">
        <v>246</v>
      </c>
      <c r="D441" s="128" t="s">
        <v>265</v>
      </c>
      <c r="E441" s="56" t="s">
        <v>140</v>
      </c>
      <c r="F441" s="57" t="s">
        <v>1446</v>
      </c>
      <c r="G441" s="57"/>
      <c r="H441" s="52" t="s">
        <v>243</v>
      </c>
      <c r="I441" s="52">
        <v>10</v>
      </c>
      <c r="J441" s="52">
        <v>150000000</v>
      </c>
      <c r="K441" s="56" t="s">
        <v>126</v>
      </c>
      <c r="L441" s="52" t="s">
        <v>1503</v>
      </c>
      <c r="M441" s="56" t="s">
        <v>126</v>
      </c>
      <c r="N441" s="52" t="s">
        <v>241</v>
      </c>
      <c r="O441" s="53" t="s">
        <v>1978</v>
      </c>
      <c r="P441" s="53" t="s">
        <v>1538</v>
      </c>
      <c r="Q441" s="52">
        <v>796</v>
      </c>
      <c r="R441" s="52" t="s">
        <v>1818</v>
      </c>
      <c r="S441" s="54">
        <v>60</v>
      </c>
      <c r="T441" s="54">
        <f t="shared" si="35"/>
        <v>84.868421052631575</v>
      </c>
      <c r="U441" s="54">
        <f t="shared" si="36"/>
        <v>5183.0357142857147</v>
      </c>
      <c r="V441" s="54">
        <v>5805</v>
      </c>
      <c r="W441" s="52"/>
      <c r="X441" s="52">
        <v>2012</v>
      </c>
      <c r="Y441" s="52"/>
    </row>
    <row r="442" spans="2:25" s="55" customFormat="1" ht="114.75" outlineLevel="1">
      <c r="B442" s="52" t="s">
        <v>1185</v>
      </c>
      <c r="C442" s="78" t="s">
        <v>246</v>
      </c>
      <c r="D442" s="56" t="s">
        <v>265</v>
      </c>
      <c r="E442" s="56" t="s">
        <v>141</v>
      </c>
      <c r="F442" s="57" t="s">
        <v>1447</v>
      </c>
      <c r="G442" s="57"/>
      <c r="H442" s="52" t="s">
        <v>243</v>
      </c>
      <c r="I442" s="52">
        <v>10</v>
      </c>
      <c r="J442" s="52">
        <v>150000000</v>
      </c>
      <c r="K442" s="56" t="s">
        <v>126</v>
      </c>
      <c r="L442" s="52" t="s">
        <v>1503</v>
      </c>
      <c r="M442" s="56" t="s">
        <v>126</v>
      </c>
      <c r="N442" s="52" t="s">
        <v>241</v>
      </c>
      <c r="O442" s="53" t="s">
        <v>1978</v>
      </c>
      <c r="P442" s="53" t="s">
        <v>1538</v>
      </c>
      <c r="Q442" s="52">
        <v>796</v>
      </c>
      <c r="R442" s="52" t="s">
        <v>1818</v>
      </c>
      <c r="S442" s="54">
        <v>20</v>
      </c>
      <c r="T442" s="54">
        <f t="shared" si="35"/>
        <v>471.4912280701754</v>
      </c>
      <c r="U442" s="54">
        <f t="shared" si="36"/>
        <v>9598.2142857142862</v>
      </c>
      <c r="V442" s="54">
        <v>10750</v>
      </c>
      <c r="W442" s="52"/>
      <c r="X442" s="52">
        <v>2012</v>
      </c>
      <c r="Y442" s="52"/>
    </row>
    <row r="443" spans="2:25" s="55" customFormat="1" ht="114.75" outlineLevel="1">
      <c r="B443" s="52" t="s">
        <v>1186</v>
      </c>
      <c r="C443" s="78" t="s">
        <v>246</v>
      </c>
      <c r="D443" s="56" t="s">
        <v>265</v>
      </c>
      <c r="E443" s="56" t="s">
        <v>142</v>
      </c>
      <c r="F443" s="53" t="s">
        <v>1448</v>
      </c>
      <c r="G443" s="53"/>
      <c r="H443" s="52" t="s">
        <v>243</v>
      </c>
      <c r="I443" s="52">
        <v>10</v>
      </c>
      <c r="J443" s="52">
        <v>150000000</v>
      </c>
      <c r="K443" s="56" t="s">
        <v>126</v>
      </c>
      <c r="L443" s="52" t="s">
        <v>1503</v>
      </c>
      <c r="M443" s="56" t="s">
        <v>126</v>
      </c>
      <c r="N443" s="52" t="s">
        <v>241</v>
      </c>
      <c r="O443" s="53" t="s">
        <v>1978</v>
      </c>
      <c r="P443" s="53" t="s">
        <v>1538</v>
      </c>
      <c r="Q443" s="52">
        <v>796</v>
      </c>
      <c r="R443" s="52" t="s">
        <v>1818</v>
      </c>
      <c r="S443" s="54">
        <v>40</v>
      </c>
      <c r="T443" s="54">
        <f t="shared" si="35"/>
        <v>113.15789473684211</v>
      </c>
      <c r="U443" s="54">
        <f t="shared" si="36"/>
        <v>4607.1428571428569</v>
      </c>
      <c r="V443" s="54">
        <v>5160</v>
      </c>
      <c r="W443" s="52"/>
      <c r="X443" s="52">
        <v>2012</v>
      </c>
      <c r="Y443" s="52"/>
    </row>
    <row r="444" spans="2:25" s="55" customFormat="1" ht="114.75" outlineLevel="1">
      <c r="B444" s="52" t="s">
        <v>1187</v>
      </c>
      <c r="C444" s="78" t="s">
        <v>246</v>
      </c>
      <c r="D444" s="128" t="s">
        <v>265</v>
      </c>
      <c r="E444" s="56" t="s">
        <v>143</v>
      </c>
      <c r="F444" s="56" t="s">
        <v>1449</v>
      </c>
      <c r="G444" s="56"/>
      <c r="H444" s="52" t="s">
        <v>243</v>
      </c>
      <c r="I444" s="52">
        <v>10</v>
      </c>
      <c r="J444" s="52">
        <v>150000000</v>
      </c>
      <c r="K444" s="56" t="s">
        <v>126</v>
      </c>
      <c r="L444" s="52" t="s">
        <v>1503</v>
      </c>
      <c r="M444" s="56" t="s">
        <v>126</v>
      </c>
      <c r="N444" s="52" t="s">
        <v>241</v>
      </c>
      <c r="O444" s="53" t="s">
        <v>1978</v>
      </c>
      <c r="P444" s="53" t="s">
        <v>1538</v>
      </c>
      <c r="Q444" s="52">
        <v>796</v>
      </c>
      <c r="R444" s="52" t="s">
        <v>1818</v>
      </c>
      <c r="S444" s="54">
        <v>40</v>
      </c>
      <c r="T444" s="54">
        <f t="shared" si="35"/>
        <v>84.868421052631575</v>
      </c>
      <c r="U444" s="54">
        <f t="shared" si="36"/>
        <v>3455.3571428571431</v>
      </c>
      <c r="V444" s="54">
        <v>3870</v>
      </c>
      <c r="W444" s="52"/>
      <c r="X444" s="52">
        <v>2012</v>
      </c>
      <c r="Y444" s="52"/>
    </row>
    <row r="445" spans="2:25" s="55" customFormat="1" ht="114.75" outlineLevel="1">
      <c r="B445" s="52" t="s">
        <v>1188</v>
      </c>
      <c r="C445" s="78" t="s">
        <v>246</v>
      </c>
      <c r="D445" s="128" t="s">
        <v>265</v>
      </c>
      <c r="E445" s="56" t="s">
        <v>144</v>
      </c>
      <c r="F445" s="56" t="s">
        <v>1450</v>
      </c>
      <c r="G445" s="56"/>
      <c r="H445" s="52" t="s">
        <v>243</v>
      </c>
      <c r="I445" s="52">
        <v>10</v>
      </c>
      <c r="J445" s="52">
        <v>150000000</v>
      </c>
      <c r="K445" s="56" t="s">
        <v>126</v>
      </c>
      <c r="L445" s="52" t="s">
        <v>1503</v>
      </c>
      <c r="M445" s="56" t="s">
        <v>126</v>
      </c>
      <c r="N445" s="52" t="s">
        <v>241</v>
      </c>
      <c r="O445" s="53" t="s">
        <v>1978</v>
      </c>
      <c r="P445" s="53" t="s">
        <v>1538</v>
      </c>
      <c r="Q445" s="52">
        <v>796</v>
      </c>
      <c r="R445" s="52" t="s">
        <v>1818</v>
      </c>
      <c r="S445" s="54">
        <v>40</v>
      </c>
      <c r="T445" s="54">
        <f t="shared" si="35"/>
        <v>47.149122807017548</v>
      </c>
      <c r="U445" s="54">
        <f t="shared" si="36"/>
        <v>1919.6428571428573</v>
      </c>
      <c r="V445" s="54">
        <v>2150</v>
      </c>
      <c r="W445" s="52"/>
      <c r="X445" s="52">
        <v>2012</v>
      </c>
      <c r="Y445" s="52"/>
    </row>
    <row r="446" spans="2:25" s="55" customFormat="1" ht="114.75" outlineLevel="1">
      <c r="B446" s="52" t="s">
        <v>1189</v>
      </c>
      <c r="C446" s="78" t="s">
        <v>246</v>
      </c>
      <c r="D446" s="128" t="s">
        <v>265</v>
      </c>
      <c r="E446" s="56" t="s">
        <v>145</v>
      </c>
      <c r="F446" s="56" t="s">
        <v>1451</v>
      </c>
      <c r="G446" s="56"/>
      <c r="H446" s="52" t="s">
        <v>243</v>
      </c>
      <c r="I446" s="52">
        <v>10</v>
      </c>
      <c r="J446" s="52">
        <v>150000000</v>
      </c>
      <c r="K446" s="56" t="s">
        <v>126</v>
      </c>
      <c r="L446" s="52" t="s">
        <v>1503</v>
      </c>
      <c r="M446" s="56" t="s">
        <v>126</v>
      </c>
      <c r="N446" s="52" t="s">
        <v>241</v>
      </c>
      <c r="O446" s="53" t="s">
        <v>1978</v>
      </c>
      <c r="P446" s="53" t="s">
        <v>1538</v>
      </c>
      <c r="Q446" s="52">
        <v>796</v>
      </c>
      <c r="R446" s="52" t="s">
        <v>1818</v>
      </c>
      <c r="S446" s="54">
        <v>20</v>
      </c>
      <c r="T446" s="54">
        <f t="shared" si="35"/>
        <v>264.03508771929825</v>
      </c>
      <c r="U446" s="54">
        <f t="shared" si="36"/>
        <v>5375</v>
      </c>
      <c r="V446" s="54">
        <v>6020</v>
      </c>
      <c r="W446" s="52"/>
      <c r="X446" s="52">
        <v>2012</v>
      </c>
      <c r="Y446" s="52"/>
    </row>
    <row r="447" spans="2:25" s="55" customFormat="1" ht="114.75" outlineLevel="1">
      <c r="B447" s="52" t="s">
        <v>1190</v>
      </c>
      <c r="C447" s="78" t="s">
        <v>246</v>
      </c>
      <c r="D447" s="128" t="s">
        <v>265</v>
      </c>
      <c r="E447" s="56" t="s">
        <v>146</v>
      </c>
      <c r="F447" s="57" t="s">
        <v>1452</v>
      </c>
      <c r="G447" s="57"/>
      <c r="H447" s="52" t="s">
        <v>243</v>
      </c>
      <c r="I447" s="52">
        <v>10</v>
      </c>
      <c r="J447" s="52">
        <v>150000000</v>
      </c>
      <c r="K447" s="56" t="s">
        <v>126</v>
      </c>
      <c r="L447" s="52" t="s">
        <v>1503</v>
      </c>
      <c r="M447" s="56" t="s">
        <v>126</v>
      </c>
      <c r="N447" s="52" t="s">
        <v>241</v>
      </c>
      <c r="O447" s="53" t="s">
        <v>1978</v>
      </c>
      <c r="P447" s="53" t="s">
        <v>1538</v>
      </c>
      <c r="Q447" s="52">
        <v>796</v>
      </c>
      <c r="R447" s="52" t="s">
        <v>1818</v>
      </c>
      <c r="S447" s="54">
        <v>2</v>
      </c>
      <c r="T447" s="54">
        <f t="shared" si="35"/>
        <v>2357.4561403508769</v>
      </c>
      <c r="U447" s="54">
        <f t="shared" si="36"/>
        <v>4799.1071428571431</v>
      </c>
      <c r="V447" s="54">
        <v>5375</v>
      </c>
      <c r="W447" s="52"/>
      <c r="X447" s="52">
        <v>2012</v>
      </c>
      <c r="Y447" s="52"/>
    </row>
    <row r="448" spans="2:25" s="55" customFormat="1" ht="114.75" outlineLevel="1">
      <c r="B448" s="52" t="s">
        <v>1191</v>
      </c>
      <c r="C448" s="78" t="s">
        <v>246</v>
      </c>
      <c r="D448" s="128" t="s">
        <v>265</v>
      </c>
      <c r="E448" s="56" t="s">
        <v>147</v>
      </c>
      <c r="F448" s="53" t="s">
        <v>1454</v>
      </c>
      <c r="G448" s="53"/>
      <c r="H448" s="52" t="s">
        <v>243</v>
      </c>
      <c r="I448" s="52">
        <v>10</v>
      </c>
      <c r="J448" s="52">
        <v>150000000</v>
      </c>
      <c r="K448" s="56" t="s">
        <v>126</v>
      </c>
      <c r="L448" s="52" t="s">
        <v>1503</v>
      </c>
      <c r="M448" s="56" t="s">
        <v>126</v>
      </c>
      <c r="N448" s="52" t="s">
        <v>241</v>
      </c>
      <c r="O448" s="53" t="s">
        <v>1978</v>
      </c>
      <c r="P448" s="53" t="s">
        <v>1538</v>
      </c>
      <c r="Q448" s="52">
        <v>796</v>
      </c>
      <c r="R448" s="52" t="s">
        <v>1818</v>
      </c>
      <c r="S448" s="54">
        <v>240</v>
      </c>
      <c r="T448" s="54">
        <f t="shared" si="35"/>
        <v>28.289473684210524</v>
      </c>
      <c r="U448" s="54">
        <f t="shared" si="36"/>
        <v>6910.7142857142862</v>
      </c>
      <c r="V448" s="54">
        <v>7740</v>
      </c>
      <c r="W448" s="52"/>
      <c r="X448" s="52">
        <v>2012</v>
      </c>
      <c r="Y448" s="52"/>
    </row>
    <row r="449" spans="2:25" s="55" customFormat="1" ht="114.75" outlineLevel="1">
      <c r="B449" s="52" t="s">
        <v>1192</v>
      </c>
      <c r="C449" s="78" t="s">
        <v>246</v>
      </c>
      <c r="D449" s="128" t="s">
        <v>265</v>
      </c>
      <c r="E449" s="56" t="s">
        <v>148</v>
      </c>
      <c r="F449" s="57" t="s">
        <v>148</v>
      </c>
      <c r="G449" s="57"/>
      <c r="H449" s="52" t="s">
        <v>243</v>
      </c>
      <c r="I449" s="52">
        <v>10</v>
      </c>
      <c r="J449" s="52">
        <v>150000000</v>
      </c>
      <c r="K449" s="56" t="s">
        <v>126</v>
      </c>
      <c r="L449" s="52" t="s">
        <v>1503</v>
      </c>
      <c r="M449" s="56" t="s">
        <v>126</v>
      </c>
      <c r="N449" s="52" t="s">
        <v>241</v>
      </c>
      <c r="O449" s="53" t="s">
        <v>1978</v>
      </c>
      <c r="P449" s="53" t="s">
        <v>1538</v>
      </c>
      <c r="Q449" s="52">
        <v>796</v>
      </c>
      <c r="R449" s="52" t="s">
        <v>1818</v>
      </c>
      <c r="S449" s="54">
        <v>10</v>
      </c>
      <c r="T449" s="54">
        <f t="shared" si="35"/>
        <v>631.79824561403507</v>
      </c>
      <c r="U449" s="54">
        <f t="shared" si="36"/>
        <v>6430.8035714285706</v>
      </c>
      <c r="V449" s="54">
        <v>7202.5</v>
      </c>
      <c r="W449" s="52"/>
      <c r="X449" s="52">
        <v>2012</v>
      </c>
      <c r="Y449" s="52"/>
    </row>
    <row r="450" spans="2:25" s="55" customFormat="1" ht="114.75" outlineLevel="1">
      <c r="B450" s="52" t="s">
        <v>1193</v>
      </c>
      <c r="C450" s="78" t="s">
        <v>246</v>
      </c>
      <c r="D450" s="128" t="s">
        <v>265</v>
      </c>
      <c r="E450" s="56" t="s">
        <v>149</v>
      </c>
      <c r="F450" s="57" t="s">
        <v>1453</v>
      </c>
      <c r="G450" s="57"/>
      <c r="H450" s="52" t="s">
        <v>243</v>
      </c>
      <c r="I450" s="52">
        <v>10</v>
      </c>
      <c r="J450" s="52">
        <v>150000000</v>
      </c>
      <c r="K450" s="56" t="s">
        <v>126</v>
      </c>
      <c r="L450" s="52" t="s">
        <v>1503</v>
      </c>
      <c r="M450" s="56" t="s">
        <v>126</v>
      </c>
      <c r="N450" s="52" t="s">
        <v>241</v>
      </c>
      <c r="O450" s="53" t="s">
        <v>1978</v>
      </c>
      <c r="P450" s="53" t="s">
        <v>1538</v>
      </c>
      <c r="Q450" s="52">
        <v>796</v>
      </c>
      <c r="R450" s="52" t="s">
        <v>1818</v>
      </c>
      <c r="S450" s="54">
        <v>120</v>
      </c>
      <c r="T450" s="54">
        <f t="shared" si="35"/>
        <v>28.289473684210524</v>
      </c>
      <c r="U450" s="54">
        <f t="shared" si="36"/>
        <v>3455.3571428571431</v>
      </c>
      <c r="V450" s="54">
        <v>3870</v>
      </c>
      <c r="W450" s="52"/>
      <c r="X450" s="52">
        <v>2012</v>
      </c>
      <c r="Y450" s="52"/>
    </row>
    <row r="451" spans="2:25" s="55" customFormat="1" ht="165.75" outlineLevel="1">
      <c r="B451" s="52" t="s">
        <v>1194</v>
      </c>
      <c r="C451" s="78" t="s">
        <v>246</v>
      </c>
      <c r="D451" s="77">
        <v>27015</v>
      </c>
      <c r="E451" s="56" t="s">
        <v>2325</v>
      </c>
      <c r="F451" s="56" t="s">
        <v>2324</v>
      </c>
      <c r="G451" s="56"/>
      <c r="H451" s="52" t="s">
        <v>243</v>
      </c>
      <c r="I451" s="52">
        <v>10</v>
      </c>
      <c r="J451" s="52">
        <v>230000000</v>
      </c>
      <c r="K451" s="56" t="s">
        <v>118</v>
      </c>
      <c r="L451" s="52" t="s">
        <v>1503</v>
      </c>
      <c r="M451" s="56" t="s">
        <v>118</v>
      </c>
      <c r="N451" s="52" t="s">
        <v>241</v>
      </c>
      <c r="O451" s="53" t="s">
        <v>1978</v>
      </c>
      <c r="P451" s="53" t="s">
        <v>1538</v>
      </c>
      <c r="Q451" s="52">
        <v>5111</v>
      </c>
      <c r="R451" s="52" t="s">
        <v>1434</v>
      </c>
      <c r="S451" s="54">
        <v>240</v>
      </c>
      <c r="T451" s="54">
        <f t="shared" si="35"/>
        <v>565.78947368421052</v>
      </c>
      <c r="U451" s="54">
        <f t="shared" si="36"/>
        <v>138214.28571428571</v>
      </c>
      <c r="V451" s="54">
        <v>154800</v>
      </c>
      <c r="W451" s="52"/>
      <c r="X451" s="52">
        <v>2012</v>
      </c>
      <c r="Y451" s="52"/>
    </row>
    <row r="452" spans="2:25" s="55" customFormat="1" ht="114.75" outlineLevel="1">
      <c r="B452" s="52" t="s">
        <v>1195</v>
      </c>
      <c r="C452" s="78" t="s">
        <v>246</v>
      </c>
      <c r="D452" s="56" t="s">
        <v>263</v>
      </c>
      <c r="E452" s="56" t="s">
        <v>130</v>
      </c>
      <c r="F452" s="56" t="s">
        <v>1438</v>
      </c>
      <c r="G452" s="56"/>
      <c r="H452" s="52" t="s">
        <v>243</v>
      </c>
      <c r="I452" s="52">
        <v>10</v>
      </c>
      <c r="J452" s="52">
        <v>230000000</v>
      </c>
      <c r="K452" s="56" t="s">
        <v>118</v>
      </c>
      <c r="L452" s="52" t="s">
        <v>1503</v>
      </c>
      <c r="M452" s="56" t="s">
        <v>118</v>
      </c>
      <c r="N452" s="52" t="s">
        <v>241</v>
      </c>
      <c r="O452" s="53" t="s">
        <v>1978</v>
      </c>
      <c r="P452" s="53" t="s">
        <v>1538</v>
      </c>
      <c r="Q452" s="52">
        <v>736</v>
      </c>
      <c r="R452" s="52" t="s">
        <v>1435</v>
      </c>
      <c r="S452" s="54">
        <v>20</v>
      </c>
      <c r="T452" s="54">
        <f t="shared" si="35"/>
        <v>216.88596491228068</v>
      </c>
      <c r="U452" s="54">
        <f t="shared" si="36"/>
        <v>4415.1785714285716</v>
      </c>
      <c r="V452" s="54">
        <v>4945</v>
      </c>
      <c r="W452" s="52"/>
      <c r="X452" s="52">
        <v>2012</v>
      </c>
      <c r="Y452" s="52"/>
    </row>
    <row r="453" spans="2:25" s="55" customFormat="1" ht="114.75" outlineLevel="1">
      <c r="B453" s="52" t="s">
        <v>1196</v>
      </c>
      <c r="C453" s="78" t="s">
        <v>246</v>
      </c>
      <c r="D453" s="128" t="s">
        <v>265</v>
      </c>
      <c r="E453" s="56" t="s">
        <v>131</v>
      </c>
      <c r="F453" s="53" t="s">
        <v>1456</v>
      </c>
      <c r="G453" s="53"/>
      <c r="H453" s="52" t="s">
        <v>243</v>
      </c>
      <c r="I453" s="52">
        <v>10</v>
      </c>
      <c r="J453" s="52">
        <v>230000000</v>
      </c>
      <c r="K453" s="56" t="s">
        <v>118</v>
      </c>
      <c r="L453" s="52" t="s">
        <v>1503</v>
      </c>
      <c r="M453" s="56" t="s">
        <v>118</v>
      </c>
      <c r="N453" s="52" t="s">
        <v>241</v>
      </c>
      <c r="O453" s="53" t="s">
        <v>1978</v>
      </c>
      <c r="P453" s="53" t="s">
        <v>1538</v>
      </c>
      <c r="Q453" s="52">
        <v>796</v>
      </c>
      <c r="R453" s="52" t="s">
        <v>1818</v>
      </c>
      <c r="S453" s="54">
        <v>40</v>
      </c>
      <c r="T453" s="54">
        <f t="shared" si="35"/>
        <v>103.7280701754386</v>
      </c>
      <c r="U453" s="54">
        <f t="shared" si="36"/>
        <v>4223.2142857142853</v>
      </c>
      <c r="V453" s="54">
        <v>4730</v>
      </c>
      <c r="W453" s="52"/>
      <c r="X453" s="52">
        <v>2012</v>
      </c>
      <c r="Y453" s="52"/>
    </row>
    <row r="454" spans="2:25" s="55" customFormat="1" ht="114.75" outlineLevel="1">
      <c r="B454" s="52" t="s">
        <v>1197</v>
      </c>
      <c r="C454" s="78" t="s">
        <v>246</v>
      </c>
      <c r="D454" s="128" t="s">
        <v>265</v>
      </c>
      <c r="E454" s="56" t="s">
        <v>132</v>
      </c>
      <c r="F454" s="56" t="s">
        <v>1439</v>
      </c>
      <c r="G454" s="56"/>
      <c r="H454" s="52" t="s">
        <v>243</v>
      </c>
      <c r="I454" s="52">
        <v>10</v>
      </c>
      <c r="J454" s="52">
        <v>230000000</v>
      </c>
      <c r="K454" s="56" t="s">
        <v>118</v>
      </c>
      <c r="L454" s="52" t="s">
        <v>1503</v>
      </c>
      <c r="M454" s="56" t="s">
        <v>118</v>
      </c>
      <c r="N454" s="52" t="s">
        <v>241</v>
      </c>
      <c r="O454" s="53" t="s">
        <v>1978</v>
      </c>
      <c r="P454" s="53" t="s">
        <v>1538</v>
      </c>
      <c r="Q454" s="52">
        <v>796</v>
      </c>
      <c r="R454" s="52" t="s">
        <v>1818</v>
      </c>
      <c r="S454" s="54">
        <v>40</v>
      </c>
      <c r="T454" s="54">
        <f t="shared" si="35"/>
        <v>141.44736842105266</v>
      </c>
      <c r="U454" s="54">
        <f t="shared" si="36"/>
        <v>5758.9285714285716</v>
      </c>
      <c r="V454" s="54">
        <v>6450</v>
      </c>
      <c r="W454" s="52"/>
      <c r="X454" s="52">
        <v>2012</v>
      </c>
      <c r="Y454" s="52"/>
    </row>
    <row r="455" spans="2:25" s="55" customFormat="1" ht="114.75" outlineLevel="1">
      <c r="B455" s="52" t="s">
        <v>1198</v>
      </c>
      <c r="C455" s="78" t="s">
        <v>246</v>
      </c>
      <c r="D455" s="128" t="s">
        <v>265</v>
      </c>
      <c r="E455" s="56" t="s">
        <v>133</v>
      </c>
      <c r="F455" s="56" t="s">
        <v>1440</v>
      </c>
      <c r="G455" s="56"/>
      <c r="H455" s="52" t="s">
        <v>243</v>
      </c>
      <c r="I455" s="52">
        <v>10</v>
      </c>
      <c r="J455" s="52">
        <v>230000000</v>
      </c>
      <c r="K455" s="56" t="s">
        <v>118</v>
      </c>
      <c r="L455" s="52" t="s">
        <v>1503</v>
      </c>
      <c r="M455" s="56" t="s">
        <v>118</v>
      </c>
      <c r="N455" s="52" t="s">
        <v>241</v>
      </c>
      <c r="O455" s="53" t="s">
        <v>1978</v>
      </c>
      <c r="P455" s="53" t="s">
        <v>1538</v>
      </c>
      <c r="Q455" s="52">
        <v>796</v>
      </c>
      <c r="R455" s="52" t="s">
        <v>1818</v>
      </c>
      <c r="S455" s="54">
        <v>40</v>
      </c>
      <c r="T455" s="54">
        <f t="shared" si="35"/>
        <v>89.583333333333343</v>
      </c>
      <c r="U455" s="54">
        <f t="shared" si="36"/>
        <v>3647.3214285714284</v>
      </c>
      <c r="V455" s="54">
        <v>4085</v>
      </c>
      <c r="W455" s="52"/>
      <c r="X455" s="52">
        <v>2012</v>
      </c>
      <c r="Y455" s="52"/>
    </row>
    <row r="456" spans="2:25" s="55" customFormat="1" ht="114.75" outlineLevel="1">
      <c r="B456" s="52" t="s">
        <v>1199</v>
      </c>
      <c r="C456" s="78" t="s">
        <v>246</v>
      </c>
      <c r="D456" s="128" t="s">
        <v>265</v>
      </c>
      <c r="E456" s="56" t="s">
        <v>134</v>
      </c>
      <c r="F456" s="53" t="s">
        <v>1455</v>
      </c>
      <c r="G456" s="53"/>
      <c r="H456" s="52" t="s">
        <v>243</v>
      </c>
      <c r="I456" s="52">
        <v>10</v>
      </c>
      <c r="J456" s="52">
        <v>230000000</v>
      </c>
      <c r="K456" s="56" t="s">
        <v>118</v>
      </c>
      <c r="L456" s="52" t="s">
        <v>1503</v>
      </c>
      <c r="M456" s="56" t="s">
        <v>118</v>
      </c>
      <c r="N456" s="52" t="s">
        <v>241</v>
      </c>
      <c r="O456" s="53" t="s">
        <v>1978</v>
      </c>
      <c r="P456" s="53" t="s">
        <v>1538</v>
      </c>
      <c r="Q456" s="52">
        <v>704</v>
      </c>
      <c r="R456" s="52" t="s">
        <v>1436</v>
      </c>
      <c r="S456" s="54">
        <v>10</v>
      </c>
      <c r="T456" s="54">
        <f t="shared" si="35"/>
        <v>1131.5789473684213</v>
      </c>
      <c r="U456" s="54">
        <f t="shared" si="36"/>
        <v>11517.857142857143</v>
      </c>
      <c r="V456" s="54">
        <v>12900</v>
      </c>
      <c r="W456" s="52"/>
      <c r="X456" s="52">
        <v>2012</v>
      </c>
      <c r="Y456" s="52"/>
    </row>
    <row r="457" spans="2:25" s="55" customFormat="1" ht="114.75" outlineLevel="1">
      <c r="B457" s="52" t="s">
        <v>1200</v>
      </c>
      <c r="C457" s="78" t="s">
        <v>246</v>
      </c>
      <c r="D457" s="128" t="s">
        <v>265</v>
      </c>
      <c r="E457" s="56" t="s">
        <v>135</v>
      </c>
      <c r="F457" s="56" t="s">
        <v>1441</v>
      </c>
      <c r="G457" s="56"/>
      <c r="H457" s="52" t="s">
        <v>243</v>
      </c>
      <c r="I457" s="52">
        <v>10</v>
      </c>
      <c r="J457" s="52">
        <v>230000000</v>
      </c>
      <c r="K457" s="56" t="s">
        <v>118</v>
      </c>
      <c r="L457" s="52" t="s">
        <v>1503</v>
      </c>
      <c r="M457" s="56" t="s">
        <v>118</v>
      </c>
      <c r="N457" s="52" t="s">
        <v>241</v>
      </c>
      <c r="O457" s="53" t="s">
        <v>1978</v>
      </c>
      <c r="P457" s="53" t="s">
        <v>1538</v>
      </c>
      <c r="Q457" s="52">
        <v>796</v>
      </c>
      <c r="R457" s="52" t="s">
        <v>1818</v>
      </c>
      <c r="S457" s="54">
        <v>240</v>
      </c>
      <c r="T457" s="54">
        <f t="shared" si="35"/>
        <v>9.4298245614035086</v>
      </c>
      <c r="U457" s="54">
        <f t="shared" si="36"/>
        <v>2303.5714285714284</v>
      </c>
      <c r="V457" s="54">
        <v>2580</v>
      </c>
      <c r="W457" s="52"/>
      <c r="X457" s="52">
        <v>2012</v>
      </c>
      <c r="Y457" s="52"/>
    </row>
    <row r="458" spans="2:25" s="55" customFormat="1" ht="114.75" outlineLevel="1">
      <c r="B458" s="52" t="s">
        <v>1201</v>
      </c>
      <c r="C458" s="78" t="s">
        <v>246</v>
      </c>
      <c r="D458" s="128" t="s">
        <v>268</v>
      </c>
      <c r="E458" s="56" t="s">
        <v>136</v>
      </c>
      <c r="F458" s="56" t="s">
        <v>1442</v>
      </c>
      <c r="G458" s="56"/>
      <c r="H458" s="52" t="s">
        <v>243</v>
      </c>
      <c r="I458" s="52">
        <v>10</v>
      </c>
      <c r="J458" s="52">
        <v>230000000</v>
      </c>
      <c r="K458" s="56" t="s">
        <v>118</v>
      </c>
      <c r="L458" s="52" t="s">
        <v>1503</v>
      </c>
      <c r="M458" s="56" t="s">
        <v>118</v>
      </c>
      <c r="N458" s="52" t="s">
        <v>241</v>
      </c>
      <c r="O458" s="53" t="s">
        <v>1978</v>
      </c>
      <c r="P458" s="53" t="s">
        <v>1538</v>
      </c>
      <c r="Q458" s="52">
        <v>796</v>
      </c>
      <c r="R458" s="52" t="s">
        <v>1818</v>
      </c>
      <c r="S458" s="54">
        <v>60</v>
      </c>
      <c r="T458" s="54">
        <f t="shared" si="35"/>
        <v>424.34210526315786</v>
      </c>
      <c r="U458" s="54">
        <f t="shared" si="36"/>
        <v>25915.178571428572</v>
      </c>
      <c r="V458" s="54">
        <v>29025</v>
      </c>
      <c r="W458" s="52"/>
      <c r="X458" s="52">
        <v>2012</v>
      </c>
      <c r="Y458" s="52"/>
    </row>
    <row r="459" spans="2:25" s="55" customFormat="1" ht="114.75" outlineLevel="1">
      <c r="B459" s="52" t="s">
        <v>1202</v>
      </c>
      <c r="C459" s="78" t="s">
        <v>246</v>
      </c>
      <c r="D459" s="128" t="s">
        <v>265</v>
      </c>
      <c r="E459" s="56" t="s">
        <v>137</v>
      </c>
      <c r="F459" s="56" t="s">
        <v>1443</v>
      </c>
      <c r="G459" s="56"/>
      <c r="H459" s="52" t="s">
        <v>243</v>
      </c>
      <c r="I459" s="52">
        <v>10</v>
      </c>
      <c r="J459" s="52">
        <v>230000000</v>
      </c>
      <c r="K459" s="56" t="s">
        <v>118</v>
      </c>
      <c r="L459" s="52" t="s">
        <v>1503</v>
      </c>
      <c r="M459" s="56" t="s">
        <v>118</v>
      </c>
      <c r="N459" s="52" t="s">
        <v>241</v>
      </c>
      <c r="O459" s="53" t="s">
        <v>1978</v>
      </c>
      <c r="P459" s="53" t="s">
        <v>1538</v>
      </c>
      <c r="Q459" s="52">
        <v>796</v>
      </c>
      <c r="R459" s="52" t="s">
        <v>1818</v>
      </c>
      <c r="S459" s="54">
        <v>60</v>
      </c>
      <c r="T459" s="54">
        <f t="shared" si="35"/>
        <v>179.16666666666666</v>
      </c>
      <c r="U459" s="54">
        <f t="shared" si="36"/>
        <v>10941.964285714286</v>
      </c>
      <c r="V459" s="54">
        <v>12255</v>
      </c>
      <c r="W459" s="52"/>
      <c r="X459" s="52">
        <v>2012</v>
      </c>
      <c r="Y459" s="52"/>
    </row>
    <row r="460" spans="2:25" s="55" customFormat="1" ht="114.75" outlineLevel="1">
      <c r="B460" s="52" t="s">
        <v>1203</v>
      </c>
      <c r="C460" s="78" t="s">
        <v>246</v>
      </c>
      <c r="D460" s="128" t="s">
        <v>265</v>
      </c>
      <c r="E460" s="56" t="s">
        <v>138</v>
      </c>
      <c r="F460" s="56" t="s">
        <v>1444</v>
      </c>
      <c r="G460" s="56"/>
      <c r="H460" s="52" t="s">
        <v>243</v>
      </c>
      <c r="I460" s="52">
        <v>10</v>
      </c>
      <c r="J460" s="52">
        <v>230000000</v>
      </c>
      <c r="K460" s="56" t="s">
        <v>118</v>
      </c>
      <c r="L460" s="52" t="s">
        <v>1503</v>
      </c>
      <c r="M460" s="56" t="s">
        <v>118</v>
      </c>
      <c r="N460" s="52" t="s">
        <v>241</v>
      </c>
      <c r="O460" s="53" t="s">
        <v>1978</v>
      </c>
      <c r="P460" s="53" t="s">
        <v>1538</v>
      </c>
      <c r="Q460" s="52">
        <v>796</v>
      </c>
      <c r="R460" s="52" t="s">
        <v>1818</v>
      </c>
      <c r="S460" s="54">
        <v>10</v>
      </c>
      <c r="T460" s="54">
        <f t="shared" si="35"/>
        <v>141.44736842105266</v>
      </c>
      <c r="U460" s="54">
        <f t="shared" si="36"/>
        <v>1439.7321428571429</v>
      </c>
      <c r="V460" s="54">
        <v>1612.5</v>
      </c>
      <c r="W460" s="52"/>
      <c r="X460" s="52">
        <v>2012</v>
      </c>
      <c r="Y460" s="52"/>
    </row>
    <row r="461" spans="2:25" s="55" customFormat="1" ht="114.75" outlineLevel="1">
      <c r="B461" s="52" t="s">
        <v>1651</v>
      </c>
      <c r="C461" s="78" t="s">
        <v>246</v>
      </c>
      <c r="D461" s="128" t="s">
        <v>265</v>
      </c>
      <c r="E461" s="56" t="s">
        <v>139</v>
      </c>
      <c r="F461" s="56" t="s">
        <v>1445</v>
      </c>
      <c r="G461" s="56"/>
      <c r="H461" s="52" t="s">
        <v>243</v>
      </c>
      <c r="I461" s="52">
        <v>10</v>
      </c>
      <c r="J461" s="52">
        <v>230000000</v>
      </c>
      <c r="K461" s="56" t="s">
        <v>118</v>
      </c>
      <c r="L461" s="52" t="s">
        <v>1503</v>
      </c>
      <c r="M461" s="56" t="s">
        <v>118</v>
      </c>
      <c r="N461" s="52" t="s">
        <v>241</v>
      </c>
      <c r="O461" s="53" t="s">
        <v>1978</v>
      </c>
      <c r="P461" s="53" t="s">
        <v>1538</v>
      </c>
      <c r="Q461" s="52">
        <v>796</v>
      </c>
      <c r="R461" s="52" t="s">
        <v>1818</v>
      </c>
      <c r="S461" s="54">
        <v>60</v>
      </c>
      <c r="T461" s="54">
        <f t="shared" si="35"/>
        <v>99.013157894736835</v>
      </c>
      <c r="U461" s="54">
        <f t="shared" si="36"/>
        <v>6046.875</v>
      </c>
      <c r="V461" s="54">
        <v>6772.5</v>
      </c>
      <c r="W461" s="52"/>
      <c r="X461" s="52">
        <v>2012</v>
      </c>
      <c r="Y461" s="52"/>
    </row>
    <row r="462" spans="2:25" s="55" customFormat="1" ht="114.75" outlineLevel="1">
      <c r="B462" s="52" t="s">
        <v>1204</v>
      </c>
      <c r="C462" s="78" t="s">
        <v>246</v>
      </c>
      <c r="D462" s="128" t="s">
        <v>265</v>
      </c>
      <c r="E462" s="56" t="s">
        <v>140</v>
      </c>
      <c r="F462" s="57" t="s">
        <v>1446</v>
      </c>
      <c r="G462" s="57"/>
      <c r="H462" s="52" t="s">
        <v>243</v>
      </c>
      <c r="I462" s="52">
        <v>10</v>
      </c>
      <c r="J462" s="52">
        <v>230000000</v>
      </c>
      <c r="K462" s="56" t="s">
        <v>118</v>
      </c>
      <c r="L462" s="52" t="s">
        <v>1503</v>
      </c>
      <c r="M462" s="56" t="s">
        <v>118</v>
      </c>
      <c r="N462" s="52" t="s">
        <v>241</v>
      </c>
      <c r="O462" s="53" t="s">
        <v>1978</v>
      </c>
      <c r="P462" s="53" t="s">
        <v>1538</v>
      </c>
      <c r="Q462" s="52">
        <v>796</v>
      </c>
      <c r="R462" s="52" t="s">
        <v>1818</v>
      </c>
      <c r="S462" s="54">
        <v>60</v>
      </c>
      <c r="T462" s="54">
        <f t="shared" si="35"/>
        <v>84.868421052631575</v>
      </c>
      <c r="U462" s="54">
        <f t="shared" si="36"/>
        <v>5183.0357142857147</v>
      </c>
      <c r="V462" s="54">
        <v>5805</v>
      </c>
      <c r="W462" s="52"/>
      <c r="X462" s="52">
        <v>2012</v>
      </c>
      <c r="Y462" s="52"/>
    </row>
    <row r="463" spans="2:25" s="55" customFormat="1" ht="114.75" outlineLevel="1">
      <c r="B463" s="52" t="s">
        <v>1205</v>
      </c>
      <c r="C463" s="78" t="s">
        <v>246</v>
      </c>
      <c r="D463" s="56" t="s">
        <v>265</v>
      </c>
      <c r="E463" s="56" t="s">
        <v>141</v>
      </c>
      <c r="F463" s="57" t="s">
        <v>1447</v>
      </c>
      <c r="G463" s="57"/>
      <c r="H463" s="52" t="s">
        <v>243</v>
      </c>
      <c r="I463" s="52">
        <v>10</v>
      </c>
      <c r="J463" s="52">
        <v>230000000</v>
      </c>
      <c r="K463" s="56" t="s">
        <v>118</v>
      </c>
      <c r="L463" s="52" t="s">
        <v>1503</v>
      </c>
      <c r="M463" s="56" t="s">
        <v>118</v>
      </c>
      <c r="N463" s="52" t="s">
        <v>241</v>
      </c>
      <c r="O463" s="53" t="s">
        <v>1978</v>
      </c>
      <c r="P463" s="53" t="s">
        <v>1538</v>
      </c>
      <c r="Q463" s="52">
        <v>796</v>
      </c>
      <c r="R463" s="52" t="s">
        <v>1818</v>
      </c>
      <c r="S463" s="54">
        <v>20</v>
      </c>
      <c r="T463" s="54">
        <f t="shared" si="35"/>
        <v>471.4912280701754</v>
      </c>
      <c r="U463" s="54">
        <f t="shared" si="36"/>
        <v>9598.2142857142862</v>
      </c>
      <c r="V463" s="54">
        <v>10750</v>
      </c>
      <c r="W463" s="52"/>
      <c r="X463" s="52">
        <v>2012</v>
      </c>
      <c r="Y463" s="52"/>
    </row>
    <row r="464" spans="2:25" s="55" customFormat="1" ht="114.75" outlineLevel="1">
      <c r="B464" s="52" t="s">
        <v>1206</v>
      </c>
      <c r="C464" s="78" t="s">
        <v>246</v>
      </c>
      <c r="D464" s="56" t="s">
        <v>265</v>
      </c>
      <c r="E464" s="56" t="s">
        <v>142</v>
      </c>
      <c r="F464" s="53" t="s">
        <v>1448</v>
      </c>
      <c r="G464" s="53"/>
      <c r="H464" s="52" t="s">
        <v>243</v>
      </c>
      <c r="I464" s="52">
        <v>10</v>
      </c>
      <c r="J464" s="52">
        <v>230000000</v>
      </c>
      <c r="K464" s="56" t="s">
        <v>118</v>
      </c>
      <c r="L464" s="52" t="s">
        <v>1503</v>
      </c>
      <c r="M464" s="56" t="s">
        <v>118</v>
      </c>
      <c r="N464" s="52" t="s">
        <v>241</v>
      </c>
      <c r="O464" s="53" t="s">
        <v>1978</v>
      </c>
      <c r="P464" s="53" t="s">
        <v>1538</v>
      </c>
      <c r="Q464" s="52">
        <v>796</v>
      </c>
      <c r="R464" s="52" t="s">
        <v>1818</v>
      </c>
      <c r="S464" s="54">
        <v>40</v>
      </c>
      <c r="T464" s="54">
        <f t="shared" si="35"/>
        <v>113.15789473684211</v>
      </c>
      <c r="U464" s="54">
        <f t="shared" si="36"/>
        <v>4607.1428571428569</v>
      </c>
      <c r="V464" s="54">
        <v>5160</v>
      </c>
      <c r="W464" s="52"/>
      <c r="X464" s="52">
        <v>2012</v>
      </c>
      <c r="Y464" s="52"/>
    </row>
    <row r="465" spans="2:25" s="55" customFormat="1" ht="114.75" outlineLevel="1">
      <c r="B465" s="52" t="s">
        <v>1207</v>
      </c>
      <c r="C465" s="78" t="s">
        <v>246</v>
      </c>
      <c r="D465" s="128" t="s">
        <v>265</v>
      </c>
      <c r="E465" s="56" t="s">
        <v>143</v>
      </c>
      <c r="F465" s="56" t="s">
        <v>1449</v>
      </c>
      <c r="G465" s="56"/>
      <c r="H465" s="52" t="s">
        <v>243</v>
      </c>
      <c r="I465" s="52">
        <v>10</v>
      </c>
      <c r="J465" s="52">
        <v>230000000</v>
      </c>
      <c r="K465" s="56" t="s">
        <v>118</v>
      </c>
      <c r="L465" s="52" t="s">
        <v>1503</v>
      </c>
      <c r="M465" s="56" t="s">
        <v>118</v>
      </c>
      <c r="N465" s="52" t="s">
        <v>241</v>
      </c>
      <c r="O465" s="53" t="s">
        <v>1978</v>
      </c>
      <c r="P465" s="53" t="s">
        <v>1538</v>
      </c>
      <c r="Q465" s="52">
        <v>796</v>
      </c>
      <c r="R465" s="52" t="s">
        <v>1818</v>
      </c>
      <c r="S465" s="54">
        <v>40</v>
      </c>
      <c r="T465" s="54">
        <f t="shared" si="35"/>
        <v>84.868421052631575</v>
      </c>
      <c r="U465" s="54">
        <f t="shared" si="36"/>
        <v>3455.3571428571431</v>
      </c>
      <c r="V465" s="54">
        <v>3870</v>
      </c>
      <c r="W465" s="52"/>
      <c r="X465" s="52">
        <v>2012</v>
      </c>
      <c r="Y465" s="52"/>
    </row>
    <row r="466" spans="2:25" s="55" customFormat="1" ht="114.75" outlineLevel="1">
      <c r="B466" s="52" t="s">
        <v>1208</v>
      </c>
      <c r="C466" s="78" t="s">
        <v>246</v>
      </c>
      <c r="D466" s="128" t="s">
        <v>265</v>
      </c>
      <c r="E466" s="56" t="s">
        <v>144</v>
      </c>
      <c r="F466" s="56" t="s">
        <v>1450</v>
      </c>
      <c r="G466" s="56"/>
      <c r="H466" s="52" t="s">
        <v>243</v>
      </c>
      <c r="I466" s="52">
        <v>10</v>
      </c>
      <c r="J466" s="52">
        <v>230000000</v>
      </c>
      <c r="K466" s="56" t="s">
        <v>118</v>
      </c>
      <c r="L466" s="52" t="s">
        <v>1503</v>
      </c>
      <c r="M466" s="56" t="s">
        <v>118</v>
      </c>
      <c r="N466" s="52" t="s">
        <v>241</v>
      </c>
      <c r="O466" s="53" t="s">
        <v>1978</v>
      </c>
      <c r="P466" s="53" t="s">
        <v>1538</v>
      </c>
      <c r="Q466" s="52">
        <v>796</v>
      </c>
      <c r="R466" s="52" t="s">
        <v>1818</v>
      </c>
      <c r="S466" s="54">
        <v>40</v>
      </c>
      <c r="T466" s="54">
        <f t="shared" si="35"/>
        <v>47.149122807017548</v>
      </c>
      <c r="U466" s="54">
        <f t="shared" si="36"/>
        <v>1919.6428571428573</v>
      </c>
      <c r="V466" s="54">
        <v>2150</v>
      </c>
      <c r="W466" s="52"/>
      <c r="X466" s="52">
        <v>2012</v>
      </c>
      <c r="Y466" s="52"/>
    </row>
    <row r="467" spans="2:25" s="55" customFormat="1" ht="114.75" outlineLevel="1">
      <c r="B467" s="52" t="s">
        <v>1209</v>
      </c>
      <c r="C467" s="78" t="s">
        <v>246</v>
      </c>
      <c r="D467" s="128" t="s">
        <v>265</v>
      </c>
      <c r="E467" s="56" t="s">
        <v>145</v>
      </c>
      <c r="F467" s="56" t="s">
        <v>1451</v>
      </c>
      <c r="G467" s="56"/>
      <c r="H467" s="52" t="s">
        <v>243</v>
      </c>
      <c r="I467" s="52">
        <v>10</v>
      </c>
      <c r="J467" s="52">
        <v>230000000</v>
      </c>
      <c r="K467" s="56" t="s">
        <v>118</v>
      </c>
      <c r="L467" s="52" t="s">
        <v>1503</v>
      </c>
      <c r="M467" s="56" t="s">
        <v>118</v>
      </c>
      <c r="N467" s="52" t="s">
        <v>241</v>
      </c>
      <c r="O467" s="53" t="s">
        <v>1978</v>
      </c>
      <c r="P467" s="53" t="s">
        <v>1538</v>
      </c>
      <c r="Q467" s="52">
        <v>796</v>
      </c>
      <c r="R467" s="52" t="s">
        <v>1818</v>
      </c>
      <c r="S467" s="54">
        <v>20</v>
      </c>
      <c r="T467" s="54">
        <f t="shared" si="35"/>
        <v>264.03508771929825</v>
      </c>
      <c r="U467" s="54">
        <f t="shared" si="36"/>
        <v>5375</v>
      </c>
      <c r="V467" s="54">
        <v>6020</v>
      </c>
      <c r="W467" s="52"/>
      <c r="X467" s="52">
        <v>2012</v>
      </c>
      <c r="Y467" s="52"/>
    </row>
    <row r="468" spans="2:25" s="55" customFormat="1" ht="114.75" outlineLevel="1">
      <c r="B468" s="52" t="s">
        <v>1210</v>
      </c>
      <c r="C468" s="78" t="s">
        <v>246</v>
      </c>
      <c r="D468" s="128" t="s">
        <v>265</v>
      </c>
      <c r="E468" s="56" t="s">
        <v>146</v>
      </c>
      <c r="F468" s="57" t="s">
        <v>1452</v>
      </c>
      <c r="G468" s="57"/>
      <c r="H468" s="52" t="s">
        <v>243</v>
      </c>
      <c r="I468" s="52">
        <v>10</v>
      </c>
      <c r="J468" s="52">
        <v>230000000</v>
      </c>
      <c r="K468" s="56" t="s">
        <v>118</v>
      </c>
      <c r="L468" s="52" t="s">
        <v>1503</v>
      </c>
      <c r="M468" s="56" t="s">
        <v>118</v>
      </c>
      <c r="N468" s="52" t="s">
        <v>241</v>
      </c>
      <c r="O468" s="53" t="s">
        <v>1978</v>
      </c>
      <c r="P468" s="53" t="s">
        <v>1538</v>
      </c>
      <c r="Q468" s="52">
        <v>796</v>
      </c>
      <c r="R468" s="52" t="s">
        <v>1818</v>
      </c>
      <c r="S468" s="54">
        <v>2</v>
      </c>
      <c r="T468" s="54">
        <f t="shared" si="35"/>
        <v>2357.4561403508769</v>
      </c>
      <c r="U468" s="54">
        <f t="shared" si="36"/>
        <v>4799.1071428571431</v>
      </c>
      <c r="V468" s="54">
        <v>5375</v>
      </c>
      <c r="W468" s="52"/>
      <c r="X468" s="52">
        <v>2012</v>
      </c>
      <c r="Y468" s="52"/>
    </row>
    <row r="469" spans="2:25" s="55" customFormat="1" ht="114.75" outlineLevel="1">
      <c r="B469" s="52" t="s">
        <v>1211</v>
      </c>
      <c r="C469" s="78" t="s">
        <v>246</v>
      </c>
      <c r="D469" s="128" t="s">
        <v>265</v>
      </c>
      <c r="E469" s="56" t="s">
        <v>147</v>
      </c>
      <c r="F469" s="53" t="s">
        <v>1454</v>
      </c>
      <c r="G469" s="53"/>
      <c r="H469" s="52" t="s">
        <v>243</v>
      </c>
      <c r="I469" s="52">
        <v>10</v>
      </c>
      <c r="J469" s="52">
        <v>230000000</v>
      </c>
      <c r="K469" s="56" t="s">
        <v>118</v>
      </c>
      <c r="L469" s="52" t="s">
        <v>1503</v>
      </c>
      <c r="M469" s="56" t="s">
        <v>118</v>
      </c>
      <c r="N469" s="52" t="s">
        <v>241</v>
      </c>
      <c r="O469" s="53" t="s">
        <v>1978</v>
      </c>
      <c r="P469" s="53" t="s">
        <v>1538</v>
      </c>
      <c r="Q469" s="52">
        <v>796</v>
      </c>
      <c r="R469" s="52" t="s">
        <v>1818</v>
      </c>
      <c r="S469" s="54">
        <v>240</v>
      </c>
      <c r="T469" s="54">
        <f t="shared" si="35"/>
        <v>28.289473684210524</v>
      </c>
      <c r="U469" s="54">
        <f t="shared" si="36"/>
        <v>6910.7142857142862</v>
      </c>
      <c r="V469" s="54">
        <v>7740</v>
      </c>
      <c r="W469" s="52"/>
      <c r="X469" s="52">
        <v>2012</v>
      </c>
      <c r="Y469" s="52"/>
    </row>
    <row r="470" spans="2:25" s="55" customFormat="1" ht="114.75" outlineLevel="1">
      <c r="B470" s="52" t="s">
        <v>1212</v>
      </c>
      <c r="C470" s="78" t="s">
        <v>246</v>
      </c>
      <c r="D470" s="128" t="s">
        <v>265</v>
      </c>
      <c r="E470" s="56" t="s">
        <v>148</v>
      </c>
      <c r="F470" s="57" t="s">
        <v>148</v>
      </c>
      <c r="G470" s="57"/>
      <c r="H470" s="52" t="s">
        <v>243</v>
      </c>
      <c r="I470" s="52">
        <v>10</v>
      </c>
      <c r="J470" s="52">
        <v>230000000</v>
      </c>
      <c r="K470" s="56" t="s">
        <v>118</v>
      </c>
      <c r="L470" s="52" t="s">
        <v>1503</v>
      </c>
      <c r="M470" s="56" t="s">
        <v>118</v>
      </c>
      <c r="N470" s="52" t="s">
        <v>241</v>
      </c>
      <c r="O470" s="53" t="s">
        <v>1978</v>
      </c>
      <c r="P470" s="53" t="s">
        <v>1538</v>
      </c>
      <c r="Q470" s="52">
        <v>796</v>
      </c>
      <c r="R470" s="52" t="s">
        <v>1818</v>
      </c>
      <c r="S470" s="54">
        <v>10</v>
      </c>
      <c r="T470" s="54">
        <f t="shared" si="35"/>
        <v>631.79824561403507</v>
      </c>
      <c r="U470" s="54">
        <f t="shared" si="36"/>
        <v>6430.8035714285706</v>
      </c>
      <c r="V470" s="54">
        <v>7202.5</v>
      </c>
      <c r="W470" s="52"/>
      <c r="X470" s="52">
        <v>2012</v>
      </c>
      <c r="Y470" s="52"/>
    </row>
    <row r="471" spans="2:25" s="55" customFormat="1" ht="114.75" outlineLevel="1">
      <c r="B471" s="52" t="s">
        <v>1213</v>
      </c>
      <c r="C471" s="78" t="s">
        <v>246</v>
      </c>
      <c r="D471" s="128" t="s">
        <v>265</v>
      </c>
      <c r="E471" s="56" t="s">
        <v>149</v>
      </c>
      <c r="F471" s="57" t="s">
        <v>1453</v>
      </c>
      <c r="G471" s="57"/>
      <c r="H471" s="52" t="s">
        <v>243</v>
      </c>
      <c r="I471" s="52">
        <v>10</v>
      </c>
      <c r="J471" s="52">
        <v>230000000</v>
      </c>
      <c r="K471" s="56" t="s">
        <v>118</v>
      </c>
      <c r="L471" s="52" t="s">
        <v>1503</v>
      </c>
      <c r="M471" s="56" t="s">
        <v>118</v>
      </c>
      <c r="N471" s="52" t="s">
        <v>241</v>
      </c>
      <c r="O471" s="53" t="s">
        <v>1978</v>
      </c>
      <c r="P471" s="53" t="s">
        <v>1538</v>
      </c>
      <c r="Q471" s="52">
        <v>796</v>
      </c>
      <c r="R471" s="52" t="s">
        <v>1818</v>
      </c>
      <c r="S471" s="54">
        <v>120</v>
      </c>
      <c r="T471" s="54">
        <f t="shared" si="35"/>
        <v>28.289473684210524</v>
      </c>
      <c r="U471" s="54">
        <f t="shared" si="36"/>
        <v>3455.3571428571431</v>
      </c>
      <c r="V471" s="54">
        <v>3870</v>
      </c>
      <c r="W471" s="52"/>
      <c r="X471" s="52">
        <v>2012</v>
      </c>
      <c r="Y471" s="52"/>
    </row>
    <row r="472" spans="2:25" s="55" customFormat="1" ht="165.75" outlineLevel="1">
      <c r="B472" s="52" t="s">
        <v>1214</v>
      </c>
      <c r="C472" s="78" t="s">
        <v>246</v>
      </c>
      <c r="D472" s="77">
        <v>27015</v>
      </c>
      <c r="E472" s="56" t="s">
        <v>2325</v>
      </c>
      <c r="F472" s="56" t="s">
        <v>2324</v>
      </c>
      <c r="G472" s="56"/>
      <c r="H472" s="52" t="s">
        <v>243</v>
      </c>
      <c r="I472" s="52">
        <v>10</v>
      </c>
      <c r="J472" s="52">
        <v>630000000</v>
      </c>
      <c r="K472" s="56" t="s">
        <v>97</v>
      </c>
      <c r="L472" s="52" t="s">
        <v>1503</v>
      </c>
      <c r="M472" s="56" t="s">
        <v>97</v>
      </c>
      <c r="N472" s="52" t="s">
        <v>241</v>
      </c>
      <c r="O472" s="53" t="s">
        <v>1978</v>
      </c>
      <c r="P472" s="53" t="s">
        <v>1538</v>
      </c>
      <c r="Q472" s="52">
        <v>5111</v>
      </c>
      <c r="R472" s="52" t="s">
        <v>1434</v>
      </c>
      <c r="S472" s="54">
        <v>264</v>
      </c>
      <c r="T472" s="54">
        <f t="shared" si="35"/>
        <v>565.78947368421052</v>
      </c>
      <c r="U472" s="54">
        <f t="shared" si="36"/>
        <v>152035.71428571429</v>
      </c>
      <c r="V472" s="54">
        <v>170280</v>
      </c>
      <c r="W472" s="52"/>
      <c r="X472" s="52">
        <v>2012</v>
      </c>
      <c r="Y472" s="52"/>
    </row>
    <row r="473" spans="2:25" s="55" customFormat="1" ht="114.75" outlineLevel="1">
      <c r="B473" s="52" t="s">
        <v>1215</v>
      </c>
      <c r="C473" s="78" t="s">
        <v>246</v>
      </c>
      <c r="D473" s="56" t="s">
        <v>263</v>
      </c>
      <c r="E473" s="56" t="s">
        <v>130</v>
      </c>
      <c r="F473" s="56" t="s">
        <v>1438</v>
      </c>
      <c r="G473" s="56"/>
      <c r="H473" s="52" t="s">
        <v>243</v>
      </c>
      <c r="I473" s="52">
        <v>10</v>
      </c>
      <c r="J473" s="52">
        <v>630000000</v>
      </c>
      <c r="K473" s="56" t="s">
        <v>97</v>
      </c>
      <c r="L473" s="52" t="s">
        <v>1503</v>
      </c>
      <c r="M473" s="56" t="s">
        <v>97</v>
      </c>
      <c r="N473" s="52" t="s">
        <v>241</v>
      </c>
      <c r="O473" s="53" t="s">
        <v>1978</v>
      </c>
      <c r="P473" s="53" t="s">
        <v>1538</v>
      </c>
      <c r="Q473" s="52">
        <v>736</v>
      </c>
      <c r="R473" s="52" t="s">
        <v>1435</v>
      </c>
      <c r="S473" s="54">
        <v>22</v>
      </c>
      <c r="T473" s="54">
        <f t="shared" si="35"/>
        <v>216.88596491228071</v>
      </c>
      <c r="U473" s="54">
        <f t="shared" si="36"/>
        <v>4856.6964285714284</v>
      </c>
      <c r="V473" s="54">
        <v>5439.5</v>
      </c>
      <c r="W473" s="52"/>
      <c r="X473" s="52">
        <v>2012</v>
      </c>
      <c r="Y473" s="52"/>
    </row>
    <row r="474" spans="2:25" s="55" customFormat="1" ht="114.75" outlineLevel="1">
      <c r="B474" s="52" t="s">
        <v>1216</v>
      </c>
      <c r="C474" s="78" t="s">
        <v>246</v>
      </c>
      <c r="D474" s="128" t="s">
        <v>265</v>
      </c>
      <c r="E474" s="56" t="s">
        <v>150</v>
      </c>
      <c r="F474" s="53" t="s">
        <v>1456</v>
      </c>
      <c r="G474" s="53"/>
      <c r="H474" s="52" t="s">
        <v>243</v>
      </c>
      <c r="I474" s="52">
        <v>10</v>
      </c>
      <c r="J474" s="52">
        <v>630000000</v>
      </c>
      <c r="K474" s="56" t="s">
        <v>97</v>
      </c>
      <c r="L474" s="52" t="s">
        <v>1503</v>
      </c>
      <c r="M474" s="56" t="s">
        <v>97</v>
      </c>
      <c r="N474" s="52" t="s">
        <v>241</v>
      </c>
      <c r="O474" s="53" t="s">
        <v>1978</v>
      </c>
      <c r="P474" s="53" t="s">
        <v>1538</v>
      </c>
      <c r="Q474" s="52">
        <v>796</v>
      </c>
      <c r="R474" s="52" t="s">
        <v>1818</v>
      </c>
      <c r="S474" s="54">
        <v>44</v>
      </c>
      <c r="T474" s="54">
        <f t="shared" si="35"/>
        <v>103.72807017543859</v>
      </c>
      <c r="U474" s="54">
        <f t="shared" si="36"/>
        <v>4645.5357142857147</v>
      </c>
      <c r="V474" s="54">
        <v>5203</v>
      </c>
      <c r="W474" s="52"/>
      <c r="X474" s="52">
        <v>2012</v>
      </c>
      <c r="Y474" s="52"/>
    </row>
    <row r="475" spans="2:25" s="55" customFormat="1" ht="114.75" outlineLevel="1">
      <c r="B475" s="52" t="s">
        <v>1217</v>
      </c>
      <c r="C475" s="78" t="s">
        <v>246</v>
      </c>
      <c r="D475" s="128" t="s">
        <v>265</v>
      </c>
      <c r="E475" s="56" t="s">
        <v>132</v>
      </c>
      <c r="F475" s="56" t="s">
        <v>1439</v>
      </c>
      <c r="G475" s="56"/>
      <c r="H475" s="52" t="s">
        <v>243</v>
      </c>
      <c r="I475" s="52">
        <v>10</v>
      </c>
      <c r="J475" s="52">
        <v>630000000</v>
      </c>
      <c r="K475" s="56" t="s">
        <v>97</v>
      </c>
      <c r="L475" s="52" t="s">
        <v>1503</v>
      </c>
      <c r="M475" s="56" t="s">
        <v>97</v>
      </c>
      <c r="N475" s="52" t="s">
        <v>241</v>
      </c>
      <c r="O475" s="53" t="s">
        <v>1978</v>
      </c>
      <c r="P475" s="53" t="s">
        <v>1538</v>
      </c>
      <c r="Q475" s="52">
        <v>796</v>
      </c>
      <c r="R475" s="52" t="s">
        <v>1818</v>
      </c>
      <c r="S475" s="54">
        <v>44</v>
      </c>
      <c r="T475" s="54">
        <f t="shared" si="35"/>
        <v>141.44736842105263</v>
      </c>
      <c r="U475" s="54">
        <f t="shared" si="36"/>
        <v>6334.8214285714284</v>
      </c>
      <c r="V475" s="54">
        <v>7095</v>
      </c>
      <c r="W475" s="52"/>
      <c r="X475" s="52">
        <v>2012</v>
      </c>
      <c r="Y475" s="52"/>
    </row>
    <row r="476" spans="2:25" s="55" customFormat="1" ht="114.75" outlineLevel="1">
      <c r="B476" s="52" t="s">
        <v>1218</v>
      </c>
      <c r="C476" s="78" t="s">
        <v>246</v>
      </c>
      <c r="D476" s="128" t="s">
        <v>265</v>
      </c>
      <c r="E476" s="56" t="s">
        <v>133</v>
      </c>
      <c r="F476" s="56" t="s">
        <v>1440</v>
      </c>
      <c r="G476" s="56"/>
      <c r="H476" s="52" t="s">
        <v>243</v>
      </c>
      <c r="I476" s="52">
        <v>10</v>
      </c>
      <c r="J476" s="52">
        <v>630000000</v>
      </c>
      <c r="K476" s="56" t="s">
        <v>97</v>
      </c>
      <c r="L476" s="52" t="s">
        <v>1503</v>
      </c>
      <c r="M476" s="56" t="s">
        <v>97</v>
      </c>
      <c r="N476" s="52" t="s">
        <v>241</v>
      </c>
      <c r="O476" s="53" t="s">
        <v>1978</v>
      </c>
      <c r="P476" s="53" t="s">
        <v>1538</v>
      </c>
      <c r="Q476" s="52">
        <v>796</v>
      </c>
      <c r="R476" s="52" t="s">
        <v>1818</v>
      </c>
      <c r="S476" s="54">
        <v>44</v>
      </c>
      <c r="T476" s="54">
        <f t="shared" si="35"/>
        <v>89.583333333333329</v>
      </c>
      <c r="U476" s="54">
        <f t="shared" si="36"/>
        <v>4012.0535714285716</v>
      </c>
      <c r="V476" s="54">
        <v>4493.5</v>
      </c>
      <c r="W476" s="52"/>
      <c r="X476" s="52">
        <v>2012</v>
      </c>
      <c r="Y476" s="52"/>
    </row>
    <row r="477" spans="2:25" s="55" customFormat="1" ht="114.75" outlineLevel="1">
      <c r="B477" s="52" t="s">
        <v>1219</v>
      </c>
      <c r="C477" s="78" t="s">
        <v>246</v>
      </c>
      <c r="D477" s="128" t="s">
        <v>265</v>
      </c>
      <c r="E477" s="56" t="s">
        <v>134</v>
      </c>
      <c r="F477" s="53" t="s">
        <v>1455</v>
      </c>
      <c r="G477" s="53"/>
      <c r="H477" s="52" t="s">
        <v>243</v>
      </c>
      <c r="I477" s="52">
        <v>10</v>
      </c>
      <c r="J477" s="52">
        <v>630000000</v>
      </c>
      <c r="K477" s="56" t="s">
        <v>97</v>
      </c>
      <c r="L477" s="52" t="s">
        <v>1503</v>
      </c>
      <c r="M477" s="56" t="s">
        <v>97</v>
      </c>
      <c r="N477" s="52" t="s">
        <v>241</v>
      </c>
      <c r="O477" s="53" t="s">
        <v>1978</v>
      </c>
      <c r="P477" s="53" t="s">
        <v>1538</v>
      </c>
      <c r="Q477" s="52">
        <v>704</v>
      </c>
      <c r="R477" s="52" t="s">
        <v>1436</v>
      </c>
      <c r="S477" s="54">
        <v>11</v>
      </c>
      <c r="T477" s="54">
        <f t="shared" si="35"/>
        <v>1131.578947368421</v>
      </c>
      <c r="U477" s="54">
        <f t="shared" si="36"/>
        <v>12669.642857142857</v>
      </c>
      <c r="V477" s="54">
        <v>14190</v>
      </c>
      <c r="W477" s="52"/>
      <c r="X477" s="52">
        <v>2012</v>
      </c>
      <c r="Y477" s="52"/>
    </row>
    <row r="478" spans="2:25" s="55" customFormat="1" ht="114.75" outlineLevel="1">
      <c r="B478" s="52" t="s">
        <v>1220</v>
      </c>
      <c r="C478" s="78" t="s">
        <v>246</v>
      </c>
      <c r="D478" s="128" t="s">
        <v>265</v>
      </c>
      <c r="E478" s="56" t="s">
        <v>135</v>
      </c>
      <c r="F478" s="56" t="s">
        <v>1441</v>
      </c>
      <c r="G478" s="56"/>
      <c r="H478" s="52" t="s">
        <v>243</v>
      </c>
      <c r="I478" s="52">
        <v>10</v>
      </c>
      <c r="J478" s="52">
        <v>630000000</v>
      </c>
      <c r="K478" s="56" t="s">
        <v>97</v>
      </c>
      <c r="L478" s="52" t="s">
        <v>1503</v>
      </c>
      <c r="M478" s="56" t="s">
        <v>97</v>
      </c>
      <c r="N478" s="52" t="s">
        <v>241</v>
      </c>
      <c r="O478" s="53" t="s">
        <v>1978</v>
      </c>
      <c r="P478" s="53" t="s">
        <v>1538</v>
      </c>
      <c r="Q478" s="52">
        <v>796</v>
      </c>
      <c r="R478" s="52" t="s">
        <v>1818</v>
      </c>
      <c r="S478" s="54">
        <v>264</v>
      </c>
      <c r="T478" s="54">
        <f t="shared" si="35"/>
        <v>9.4298245614035086</v>
      </c>
      <c r="U478" s="54">
        <f t="shared" si="36"/>
        <v>2533.9285714285716</v>
      </c>
      <c r="V478" s="54">
        <v>2838</v>
      </c>
      <c r="W478" s="52"/>
      <c r="X478" s="52">
        <v>2012</v>
      </c>
      <c r="Y478" s="52"/>
    </row>
    <row r="479" spans="2:25" s="55" customFormat="1" ht="114.75" outlineLevel="1">
      <c r="B479" s="52" t="s">
        <v>1221</v>
      </c>
      <c r="C479" s="78" t="s">
        <v>246</v>
      </c>
      <c r="D479" s="128" t="s">
        <v>268</v>
      </c>
      <c r="E479" s="56" t="s">
        <v>136</v>
      </c>
      <c r="F479" s="56" t="s">
        <v>1442</v>
      </c>
      <c r="G479" s="56"/>
      <c r="H479" s="52" t="s">
        <v>243</v>
      </c>
      <c r="I479" s="52">
        <v>10</v>
      </c>
      <c r="J479" s="52">
        <v>630000000</v>
      </c>
      <c r="K479" s="56" t="s">
        <v>97</v>
      </c>
      <c r="L479" s="52" t="s">
        <v>1503</v>
      </c>
      <c r="M479" s="56" t="s">
        <v>97</v>
      </c>
      <c r="N479" s="52" t="s">
        <v>241</v>
      </c>
      <c r="O479" s="53" t="s">
        <v>1978</v>
      </c>
      <c r="P479" s="53" t="s">
        <v>1538</v>
      </c>
      <c r="Q479" s="52">
        <v>796</v>
      </c>
      <c r="R479" s="52" t="s">
        <v>1818</v>
      </c>
      <c r="S479" s="54">
        <v>66</v>
      </c>
      <c r="T479" s="54">
        <f t="shared" si="35"/>
        <v>424.34210526315792</v>
      </c>
      <c r="U479" s="54">
        <f t="shared" si="36"/>
        <v>28506.696428571428</v>
      </c>
      <c r="V479" s="54">
        <v>31927.5</v>
      </c>
      <c r="W479" s="52"/>
      <c r="X479" s="52">
        <v>2012</v>
      </c>
      <c r="Y479" s="52"/>
    </row>
    <row r="480" spans="2:25" s="55" customFormat="1" ht="114.75" outlineLevel="1">
      <c r="B480" s="52" t="s">
        <v>1222</v>
      </c>
      <c r="C480" s="78" t="s">
        <v>246</v>
      </c>
      <c r="D480" s="128" t="s">
        <v>265</v>
      </c>
      <c r="E480" s="56" t="s">
        <v>137</v>
      </c>
      <c r="F480" s="56" t="s">
        <v>1443</v>
      </c>
      <c r="G480" s="56"/>
      <c r="H480" s="52" t="s">
        <v>243</v>
      </c>
      <c r="I480" s="52">
        <v>10</v>
      </c>
      <c r="J480" s="52">
        <v>630000000</v>
      </c>
      <c r="K480" s="56" t="s">
        <v>97</v>
      </c>
      <c r="L480" s="52" t="s">
        <v>1503</v>
      </c>
      <c r="M480" s="56" t="s">
        <v>97</v>
      </c>
      <c r="N480" s="52" t="s">
        <v>241</v>
      </c>
      <c r="O480" s="53" t="s">
        <v>1978</v>
      </c>
      <c r="P480" s="53" t="s">
        <v>1538</v>
      </c>
      <c r="Q480" s="52">
        <v>796</v>
      </c>
      <c r="R480" s="52" t="s">
        <v>1818</v>
      </c>
      <c r="S480" s="54">
        <v>66</v>
      </c>
      <c r="T480" s="54">
        <f t="shared" si="35"/>
        <v>179.16666666666666</v>
      </c>
      <c r="U480" s="54">
        <f t="shared" si="36"/>
        <v>12036.160714285714</v>
      </c>
      <c r="V480" s="54">
        <v>13480.5</v>
      </c>
      <c r="W480" s="52"/>
      <c r="X480" s="52">
        <v>2012</v>
      </c>
      <c r="Y480" s="52"/>
    </row>
    <row r="481" spans="2:25" s="55" customFormat="1" ht="114.75" outlineLevel="1">
      <c r="B481" s="52" t="s">
        <v>1223</v>
      </c>
      <c r="C481" s="78" t="s">
        <v>246</v>
      </c>
      <c r="D481" s="128" t="s">
        <v>265</v>
      </c>
      <c r="E481" s="56" t="s">
        <v>138</v>
      </c>
      <c r="F481" s="56" t="s">
        <v>1444</v>
      </c>
      <c r="G481" s="56"/>
      <c r="H481" s="52" t="s">
        <v>243</v>
      </c>
      <c r="I481" s="52">
        <v>10</v>
      </c>
      <c r="J481" s="52">
        <v>630000000</v>
      </c>
      <c r="K481" s="56" t="s">
        <v>97</v>
      </c>
      <c r="L481" s="52" t="s">
        <v>1503</v>
      </c>
      <c r="M481" s="56" t="s">
        <v>97</v>
      </c>
      <c r="N481" s="52" t="s">
        <v>241</v>
      </c>
      <c r="O481" s="53" t="s">
        <v>1978</v>
      </c>
      <c r="P481" s="53" t="s">
        <v>1538</v>
      </c>
      <c r="Q481" s="52">
        <v>796</v>
      </c>
      <c r="R481" s="52" t="s">
        <v>1818</v>
      </c>
      <c r="S481" s="54">
        <v>11</v>
      </c>
      <c r="T481" s="54">
        <f t="shared" si="35"/>
        <v>141.44736842105263</v>
      </c>
      <c r="U481" s="54">
        <f t="shared" si="36"/>
        <v>1583.7053571428571</v>
      </c>
      <c r="V481" s="54">
        <v>1773.75</v>
      </c>
      <c r="W481" s="52"/>
      <c r="X481" s="52">
        <v>2012</v>
      </c>
      <c r="Y481" s="52"/>
    </row>
    <row r="482" spans="2:25" s="55" customFormat="1" ht="114.75" outlineLevel="1">
      <c r="B482" s="52" t="s">
        <v>1224</v>
      </c>
      <c r="C482" s="78" t="s">
        <v>246</v>
      </c>
      <c r="D482" s="128" t="s">
        <v>265</v>
      </c>
      <c r="E482" s="56" t="s">
        <v>139</v>
      </c>
      <c r="F482" s="56" t="s">
        <v>1445</v>
      </c>
      <c r="G482" s="56"/>
      <c r="H482" s="52" t="s">
        <v>243</v>
      </c>
      <c r="I482" s="52">
        <v>10</v>
      </c>
      <c r="J482" s="52">
        <v>630000000</v>
      </c>
      <c r="K482" s="56" t="s">
        <v>97</v>
      </c>
      <c r="L482" s="52" t="s">
        <v>1503</v>
      </c>
      <c r="M482" s="56" t="s">
        <v>97</v>
      </c>
      <c r="N482" s="52" t="s">
        <v>241</v>
      </c>
      <c r="O482" s="53" t="s">
        <v>1978</v>
      </c>
      <c r="P482" s="53" t="s">
        <v>1538</v>
      </c>
      <c r="Q482" s="52">
        <v>796</v>
      </c>
      <c r="R482" s="52" t="s">
        <v>1818</v>
      </c>
      <c r="S482" s="54">
        <v>66</v>
      </c>
      <c r="T482" s="54">
        <f t="shared" si="35"/>
        <v>99.01315789473685</v>
      </c>
      <c r="U482" s="54">
        <f t="shared" si="36"/>
        <v>6651.5625</v>
      </c>
      <c r="V482" s="54">
        <v>7449.75</v>
      </c>
      <c r="W482" s="52"/>
      <c r="X482" s="52">
        <v>2012</v>
      </c>
      <c r="Y482" s="52"/>
    </row>
    <row r="483" spans="2:25" s="55" customFormat="1" ht="114.75" outlineLevel="1">
      <c r="B483" s="52" t="s">
        <v>1652</v>
      </c>
      <c r="C483" s="78" t="s">
        <v>246</v>
      </c>
      <c r="D483" s="128" t="s">
        <v>265</v>
      </c>
      <c r="E483" s="56" t="s">
        <v>140</v>
      </c>
      <c r="F483" s="57" t="s">
        <v>1446</v>
      </c>
      <c r="G483" s="57"/>
      <c r="H483" s="52" t="s">
        <v>243</v>
      </c>
      <c r="I483" s="52">
        <v>10</v>
      </c>
      <c r="J483" s="52">
        <v>630000000</v>
      </c>
      <c r="K483" s="56" t="s">
        <v>97</v>
      </c>
      <c r="L483" s="52" t="s">
        <v>1503</v>
      </c>
      <c r="M483" s="56" t="s">
        <v>97</v>
      </c>
      <c r="N483" s="52" t="s">
        <v>241</v>
      </c>
      <c r="O483" s="53" t="s">
        <v>1978</v>
      </c>
      <c r="P483" s="53" t="s">
        <v>1538</v>
      </c>
      <c r="Q483" s="52">
        <v>796</v>
      </c>
      <c r="R483" s="52" t="s">
        <v>1818</v>
      </c>
      <c r="S483" s="54">
        <v>66</v>
      </c>
      <c r="T483" s="54">
        <f t="shared" si="35"/>
        <v>84.868421052631575</v>
      </c>
      <c r="U483" s="54">
        <f t="shared" si="36"/>
        <v>5701.3392857142853</v>
      </c>
      <c r="V483" s="54">
        <v>6385.5</v>
      </c>
      <c r="W483" s="52"/>
      <c r="X483" s="52">
        <v>2012</v>
      </c>
      <c r="Y483" s="52"/>
    </row>
    <row r="484" spans="2:25" s="55" customFormat="1" ht="114.75" outlineLevel="1">
      <c r="B484" s="52" t="s">
        <v>1225</v>
      </c>
      <c r="C484" s="78" t="s">
        <v>246</v>
      </c>
      <c r="D484" s="56" t="s">
        <v>265</v>
      </c>
      <c r="E484" s="56" t="s">
        <v>141</v>
      </c>
      <c r="F484" s="57" t="s">
        <v>1447</v>
      </c>
      <c r="G484" s="57"/>
      <c r="H484" s="52" t="s">
        <v>243</v>
      </c>
      <c r="I484" s="52">
        <v>10</v>
      </c>
      <c r="J484" s="52">
        <v>630000000</v>
      </c>
      <c r="K484" s="56" t="s">
        <v>97</v>
      </c>
      <c r="L484" s="52" t="s">
        <v>1503</v>
      </c>
      <c r="M484" s="56" t="s">
        <v>97</v>
      </c>
      <c r="N484" s="52" t="s">
        <v>241</v>
      </c>
      <c r="O484" s="53" t="s">
        <v>1978</v>
      </c>
      <c r="P484" s="53" t="s">
        <v>1538</v>
      </c>
      <c r="Q484" s="52">
        <v>796</v>
      </c>
      <c r="R484" s="52" t="s">
        <v>1818</v>
      </c>
      <c r="S484" s="54">
        <v>22</v>
      </c>
      <c r="T484" s="54">
        <f t="shared" si="35"/>
        <v>471.49122807017551</v>
      </c>
      <c r="U484" s="54">
        <f t="shared" si="36"/>
        <v>10558.035714285714</v>
      </c>
      <c r="V484" s="54">
        <v>11825</v>
      </c>
      <c r="W484" s="52"/>
      <c r="X484" s="52">
        <v>2012</v>
      </c>
      <c r="Y484" s="52"/>
    </row>
    <row r="485" spans="2:25" s="55" customFormat="1" ht="114.75" outlineLevel="1">
      <c r="B485" s="52" t="s">
        <v>1226</v>
      </c>
      <c r="C485" s="78" t="s">
        <v>246</v>
      </c>
      <c r="D485" s="56" t="s">
        <v>265</v>
      </c>
      <c r="E485" s="56" t="s">
        <v>142</v>
      </c>
      <c r="F485" s="53" t="s">
        <v>1448</v>
      </c>
      <c r="G485" s="53"/>
      <c r="H485" s="52" t="s">
        <v>243</v>
      </c>
      <c r="I485" s="52">
        <v>10</v>
      </c>
      <c r="J485" s="52">
        <v>630000000</v>
      </c>
      <c r="K485" s="56" t="s">
        <v>97</v>
      </c>
      <c r="L485" s="52" t="s">
        <v>1503</v>
      </c>
      <c r="M485" s="56" t="s">
        <v>97</v>
      </c>
      <c r="N485" s="52" t="s">
        <v>241</v>
      </c>
      <c r="O485" s="53" t="s">
        <v>1978</v>
      </c>
      <c r="P485" s="53" t="s">
        <v>1538</v>
      </c>
      <c r="Q485" s="52">
        <v>796</v>
      </c>
      <c r="R485" s="52" t="s">
        <v>1818</v>
      </c>
      <c r="S485" s="54">
        <v>44</v>
      </c>
      <c r="T485" s="54">
        <f t="shared" si="35"/>
        <v>113.1578947368421</v>
      </c>
      <c r="U485" s="54">
        <f t="shared" si="36"/>
        <v>5067.8571428571431</v>
      </c>
      <c r="V485" s="54">
        <v>5676</v>
      </c>
      <c r="W485" s="52"/>
      <c r="X485" s="52">
        <v>2012</v>
      </c>
      <c r="Y485" s="52"/>
    </row>
    <row r="486" spans="2:25" s="55" customFormat="1" ht="114.75" outlineLevel="1">
      <c r="B486" s="52" t="s">
        <v>1227</v>
      </c>
      <c r="C486" s="78" t="s">
        <v>246</v>
      </c>
      <c r="D486" s="128" t="s">
        <v>265</v>
      </c>
      <c r="E486" s="56" t="s">
        <v>143</v>
      </c>
      <c r="F486" s="56" t="s">
        <v>1449</v>
      </c>
      <c r="G486" s="56"/>
      <c r="H486" s="52" t="s">
        <v>243</v>
      </c>
      <c r="I486" s="52">
        <v>10</v>
      </c>
      <c r="J486" s="52">
        <v>630000000</v>
      </c>
      <c r="K486" s="56" t="s">
        <v>97</v>
      </c>
      <c r="L486" s="52" t="s">
        <v>1503</v>
      </c>
      <c r="M486" s="56" t="s">
        <v>97</v>
      </c>
      <c r="N486" s="52" t="s">
        <v>241</v>
      </c>
      <c r="O486" s="53" t="s">
        <v>1978</v>
      </c>
      <c r="P486" s="53" t="s">
        <v>1538</v>
      </c>
      <c r="Q486" s="52">
        <v>796</v>
      </c>
      <c r="R486" s="52" t="s">
        <v>1818</v>
      </c>
      <c r="S486" s="54">
        <v>44</v>
      </c>
      <c r="T486" s="54">
        <f t="shared" si="35"/>
        <v>84.868421052631575</v>
      </c>
      <c r="U486" s="54">
        <f t="shared" si="36"/>
        <v>3800.8928571428569</v>
      </c>
      <c r="V486" s="54">
        <v>4257</v>
      </c>
      <c r="W486" s="52"/>
      <c r="X486" s="52">
        <v>2012</v>
      </c>
      <c r="Y486" s="52"/>
    </row>
    <row r="487" spans="2:25" s="55" customFormat="1" ht="114.75" outlineLevel="1">
      <c r="B487" s="52" t="s">
        <v>1228</v>
      </c>
      <c r="C487" s="78" t="s">
        <v>246</v>
      </c>
      <c r="D487" s="128" t="s">
        <v>265</v>
      </c>
      <c r="E487" s="56" t="s">
        <v>144</v>
      </c>
      <c r="F487" s="56" t="s">
        <v>1450</v>
      </c>
      <c r="G487" s="56"/>
      <c r="H487" s="52" t="s">
        <v>243</v>
      </c>
      <c r="I487" s="52">
        <v>10</v>
      </c>
      <c r="J487" s="52">
        <v>630000000</v>
      </c>
      <c r="K487" s="56" t="s">
        <v>97</v>
      </c>
      <c r="L487" s="52" t="s">
        <v>1503</v>
      </c>
      <c r="M487" s="56" t="s">
        <v>97</v>
      </c>
      <c r="N487" s="52" t="s">
        <v>241</v>
      </c>
      <c r="O487" s="53" t="s">
        <v>1978</v>
      </c>
      <c r="P487" s="53" t="s">
        <v>1538</v>
      </c>
      <c r="Q487" s="52">
        <v>796</v>
      </c>
      <c r="R487" s="52" t="s">
        <v>1818</v>
      </c>
      <c r="S487" s="54">
        <v>44</v>
      </c>
      <c r="T487" s="54">
        <f t="shared" si="35"/>
        <v>47.149122807017541</v>
      </c>
      <c r="U487" s="54">
        <f t="shared" si="36"/>
        <v>2111.6071428571427</v>
      </c>
      <c r="V487" s="54">
        <v>2365</v>
      </c>
      <c r="W487" s="52"/>
      <c r="X487" s="52">
        <v>2012</v>
      </c>
      <c r="Y487" s="52"/>
    </row>
    <row r="488" spans="2:25" s="55" customFormat="1" ht="114.75" outlineLevel="1">
      <c r="B488" s="52" t="s">
        <v>1229</v>
      </c>
      <c r="C488" s="78" t="s">
        <v>246</v>
      </c>
      <c r="D488" s="128" t="s">
        <v>265</v>
      </c>
      <c r="E488" s="56" t="s">
        <v>145</v>
      </c>
      <c r="F488" s="56" t="s">
        <v>1451</v>
      </c>
      <c r="G488" s="56"/>
      <c r="H488" s="52" t="s">
        <v>243</v>
      </c>
      <c r="I488" s="52">
        <v>10</v>
      </c>
      <c r="J488" s="52">
        <v>630000000</v>
      </c>
      <c r="K488" s="56" t="s">
        <v>97</v>
      </c>
      <c r="L488" s="52" t="s">
        <v>1503</v>
      </c>
      <c r="M488" s="56" t="s">
        <v>97</v>
      </c>
      <c r="N488" s="52" t="s">
        <v>241</v>
      </c>
      <c r="O488" s="53" t="s">
        <v>1978</v>
      </c>
      <c r="P488" s="53" t="s">
        <v>1538</v>
      </c>
      <c r="Q488" s="52">
        <v>796</v>
      </c>
      <c r="R488" s="52" t="s">
        <v>1818</v>
      </c>
      <c r="S488" s="54">
        <v>22</v>
      </c>
      <c r="T488" s="54">
        <f t="shared" si="35"/>
        <v>264.03508771929825</v>
      </c>
      <c r="U488" s="54">
        <f t="shared" si="36"/>
        <v>5912.5</v>
      </c>
      <c r="V488" s="54">
        <v>6622</v>
      </c>
      <c r="W488" s="52"/>
      <c r="X488" s="52">
        <v>2012</v>
      </c>
      <c r="Y488" s="52"/>
    </row>
    <row r="489" spans="2:25" s="55" customFormat="1" ht="114.75" outlineLevel="1">
      <c r="B489" s="52" t="s">
        <v>1230</v>
      </c>
      <c r="C489" s="78" t="s">
        <v>246</v>
      </c>
      <c r="D489" s="128" t="s">
        <v>265</v>
      </c>
      <c r="E489" s="56" t="s">
        <v>146</v>
      </c>
      <c r="F489" s="57" t="s">
        <v>1452</v>
      </c>
      <c r="G489" s="57"/>
      <c r="H489" s="52" t="s">
        <v>243</v>
      </c>
      <c r="I489" s="52">
        <v>10</v>
      </c>
      <c r="J489" s="52">
        <v>630000000</v>
      </c>
      <c r="K489" s="56" t="s">
        <v>97</v>
      </c>
      <c r="L489" s="52" t="s">
        <v>1503</v>
      </c>
      <c r="M489" s="56" t="s">
        <v>97</v>
      </c>
      <c r="N489" s="52" t="s">
        <v>241</v>
      </c>
      <c r="O489" s="53" t="s">
        <v>1978</v>
      </c>
      <c r="P489" s="53" t="s">
        <v>1538</v>
      </c>
      <c r="Q489" s="52">
        <v>796</v>
      </c>
      <c r="R489" s="52" t="s">
        <v>1818</v>
      </c>
      <c r="S489" s="54">
        <v>2.2000000000000002</v>
      </c>
      <c r="T489" s="54">
        <f t="shared" si="35"/>
        <v>2357.4561403508778</v>
      </c>
      <c r="U489" s="54">
        <f t="shared" si="36"/>
        <v>5279.0178571428578</v>
      </c>
      <c r="V489" s="54">
        <v>5912.5000000000009</v>
      </c>
      <c r="W489" s="52"/>
      <c r="X489" s="52">
        <v>2012</v>
      </c>
      <c r="Y489" s="52"/>
    </row>
    <row r="490" spans="2:25" s="55" customFormat="1" ht="114.75" outlineLevel="1">
      <c r="B490" s="52" t="s">
        <v>1231</v>
      </c>
      <c r="C490" s="78" t="s">
        <v>246</v>
      </c>
      <c r="D490" s="128" t="s">
        <v>265</v>
      </c>
      <c r="E490" s="56" t="s">
        <v>147</v>
      </c>
      <c r="F490" s="53" t="s">
        <v>1454</v>
      </c>
      <c r="G490" s="53"/>
      <c r="H490" s="52" t="s">
        <v>243</v>
      </c>
      <c r="I490" s="52">
        <v>10</v>
      </c>
      <c r="J490" s="52">
        <v>630000000</v>
      </c>
      <c r="K490" s="56" t="s">
        <v>97</v>
      </c>
      <c r="L490" s="52" t="s">
        <v>1503</v>
      </c>
      <c r="M490" s="56" t="s">
        <v>97</v>
      </c>
      <c r="N490" s="52" t="s">
        <v>241</v>
      </c>
      <c r="O490" s="53" t="s">
        <v>1978</v>
      </c>
      <c r="P490" s="53" t="s">
        <v>1538</v>
      </c>
      <c r="Q490" s="52">
        <v>796</v>
      </c>
      <c r="R490" s="52" t="s">
        <v>1818</v>
      </c>
      <c r="S490" s="54">
        <v>264</v>
      </c>
      <c r="T490" s="54">
        <f t="shared" si="35"/>
        <v>28.289473684210527</v>
      </c>
      <c r="U490" s="54">
        <f t="shared" si="36"/>
        <v>7601.7857142857138</v>
      </c>
      <c r="V490" s="54">
        <v>8514</v>
      </c>
      <c r="W490" s="52"/>
      <c r="X490" s="52">
        <v>2012</v>
      </c>
      <c r="Y490" s="52"/>
    </row>
    <row r="491" spans="2:25" s="55" customFormat="1" ht="114.75" outlineLevel="1">
      <c r="B491" s="52" t="s">
        <v>1232</v>
      </c>
      <c r="C491" s="78" t="s">
        <v>246</v>
      </c>
      <c r="D491" s="128" t="s">
        <v>265</v>
      </c>
      <c r="E491" s="56" t="s">
        <v>148</v>
      </c>
      <c r="F491" s="57" t="s">
        <v>148</v>
      </c>
      <c r="G491" s="57"/>
      <c r="H491" s="52" t="s">
        <v>243</v>
      </c>
      <c r="I491" s="52">
        <v>10</v>
      </c>
      <c r="J491" s="52">
        <v>630000000</v>
      </c>
      <c r="K491" s="56" t="s">
        <v>97</v>
      </c>
      <c r="L491" s="52" t="s">
        <v>1503</v>
      </c>
      <c r="M491" s="56" t="s">
        <v>97</v>
      </c>
      <c r="N491" s="52" t="s">
        <v>241</v>
      </c>
      <c r="O491" s="53" t="s">
        <v>1978</v>
      </c>
      <c r="P491" s="53" t="s">
        <v>1538</v>
      </c>
      <c r="Q491" s="52">
        <v>796</v>
      </c>
      <c r="R491" s="52" t="s">
        <v>1818</v>
      </c>
      <c r="S491" s="54">
        <v>11</v>
      </c>
      <c r="T491" s="54">
        <f t="shared" si="35"/>
        <v>631.79824561403518</v>
      </c>
      <c r="U491" s="54">
        <f t="shared" si="36"/>
        <v>7073.8839285714294</v>
      </c>
      <c r="V491" s="54">
        <v>7922.75</v>
      </c>
      <c r="W491" s="52"/>
      <c r="X491" s="52">
        <v>2012</v>
      </c>
      <c r="Y491" s="52"/>
    </row>
    <row r="492" spans="2:25" s="55" customFormat="1" ht="114.75" outlineLevel="1">
      <c r="B492" s="52" t="s">
        <v>1233</v>
      </c>
      <c r="C492" s="78" t="s">
        <v>246</v>
      </c>
      <c r="D492" s="128" t="s">
        <v>265</v>
      </c>
      <c r="E492" s="56" t="s">
        <v>149</v>
      </c>
      <c r="F492" s="57" t="s">
        <v>1453</v>
      </c>
      <c r="G492" s="57"/>
      <c r="H492" s="52" t="s">
        <v>243</v>
      </c>
      <c r="I492" s="52">
        <v>10</v>
      </c>
      <c r="J492" s="52">
        <v>630000000</v>
      </c>
      <c r="K492" s="56" t="s">
        <v>97</v>
      </c>
      <c r="L492" s="52" t="s">
        <v>1503</v>
      </c>
      <c r="M492" s="56" t="s">
        <v>97</v>
      </c>
      <c r="N492" s="52" t="s">
        <v>241</v>
      </c>
      <c r="O492" s="53" t="s">
        <v>1978</v>
      </c>
      <c r="P492" s="53" t="s">
        <v>1538</v>
      </c>
      <c r="Q492" s="52">
        <v>796</v>
      </c>
      <c r="R492" s="52" t="s">
        <v>1818</v>
      </c>
      <c r="S492" s="54">
        <v>132</v>
      </c>
      <c r="T492" s="54">
        <f t="shared" ref="T492:T552" si="37">V492/114*100/S492</f>
        <v>28.289473684210527</v>
      </c>
      <c r="U492" s="54">
        <f t="shared" si="36"/>
        <v>3800.8928571428569</v>
      </c>
      <c r="V492" s="54">
        <v>4257</v>
      </c>
      <c r="W492" s="52"/>
      <c r="X492" s="52">
        <v>2012</v>
      </c>
      <c r="Y492" s="52"/>
    </row>
    <row r="493" spans="2:25" s="55" customFormat="1" ht="165.75" outlineLevel="1">
      <c r="B493" s="52" t="s">
        <v>1234</v>
      </c>
      <c r="C493" s="78" t="s">
        <v>246</v>
      </c>
      <c r="D493" s="77">
        <v>27015</v>
      </c>
      <c r="E493" s="56" t="s">
        <v>2325</v>
      </c>
      <c r="F493" s="56" t="s">
        <v>2324</v>
      </c>
      <c r="G493" s="56"/>
      <c r="H493" s="52" t="s">
        <v>243</v>
      </c>
      <c r="I493" s="52">
        <v>10</v>
      </c>
      <c r="J493" s="52">
        <v>310000000</v>
      </c>
      <c r="K493" s="56" t="s">
        <v>119</v>
      </c>
      <c r="L493" s="52" t="s">
        <v>1503</v>
      </c>
      <c r="M493" s="56" t="s">
        <v>119</v>
      </c>
      <c r="N493" s="52" t="s">
        <v>241</v>
      </c>
      <c r="O493" s="53" t="s">
        <v>1978</v>
      </c>
      <c r="P493" s="53" t="s">
        <v>1538</v>
      </c>
      <c r="Q493" s="52">
        <v>5111</v>
      </c>
      <c r="R493" s="52" t="s">
        <v>1434</v>
      </c>
      <c r="S493" s="54">
        <v>288</v>
      </c>
      <c r="T493" s="54">
        <f t="shared" si="37"/>
        <v>565.78947368421041</v>
      </c>
      <c r="U493" s="54">
        <f t="shared" si="36"/>
        <v>165857.14285714287</v>
      </c>
      <c r="V493" s="54">
        <v>185760</v>
      </c>
      <c r="W493" s="52"/>
      <c r="X493" s="52">
        <v>2012</v>
      </c>
      <c r="Y493" s="52"/>
    </row>
    <row r="494" spans="2:25" s="55" customFormat="1" ht="114.75" outlineLevel="1">
      <c r="B494" s="52" t="s">
        <v>1235</v>
      </c>
      <c r="C494" s="78" t="s">
        <v>246</v>
      </c>
      <c r="D494" s="56" t="s">
        <v>263</v>
      </c>
      <c r="E494" s="56" t="s">
        <v>130</v>
      </c>
      <c r="F494" s="56" t="s">
        <v>1438</v>
      </c>
      <c r="G494" s="56"/>
      <c r="H494" s="52" t="s">
        <v>243</v>
      </c>
      <c r="I494" s="52">
        <v>10</v>
      </c>
      <c r="J494" s="52">
        <v>310000000</v>
      </c>
      <c r="K494" s="56" t="s">
        <v>119</v>
      </c>
      <c r="L494" s="52" t="s">
        <v>1503</v>
      </c>
      <c r="M494" s="56" t="s">
        <v>119</v>
      </c>
      <c r="N494" s="52" t="s">
        <v>241</v>
      </c>
      <c r="O494" s="53" t="s">
        <v>1978</v>
      </c>
      <c r="P494" s="53" t="s">
        <v>1538</v>
      </c>
      <c r="Q494" s="52">
        <v>736</v>
      </c>
      <c r="R494" s="52" t="s">
        <v>1435</v>
      </c>
      <c r="S494" s="54">
        <v>24</v>
      </c>
      <c r="T494" s="54">
        <f t="shared" si="37"/>
        <v>216.88596491228068</v>
      </c>
      <c r="U494" s="54">
        <f t="shared" si="36"/>
        <v>5298.2142857142853</v>
      </c>
      <c r="V494" s="54">
        <v>5934</v>
      </c>
      <c r="W494" s="52"/>
      <c r="X494" s="52">
        <v>2012</v>
      </c>
      <c r="Y494" s="52"/>
    </row>
    <row r="495" spans="2:25" s="55" customFormat="1" ht="114.75" outlineLevel="1">
      <c r="B495" s="52" t="s">
        <v>1236</v>
      </c>
      <c r="C495" s="78" t="s">
        <v>246</v>
      </c>
      <c r="D495" s="128" t="s">
        <v>265</v>
      </c>
      <c r="E495" s="56" t="s">
        <v>131</v>
      </c>
      <c r="F495" s="53" t="s">
        <v>1456</v>
      </c>
      <c r="G495" s="53"/>
      <c r="H495" s="52" t="s">
        <v>243</v>
      </c>
      <c r="I495" s="52">
        <v>10</v>
      </c>
      <c r="J495" s="52">
        <v>310000000</v>
      </c>
      <c r="K495" s="56" t="s">
        <v>119</v>
      </c>
      <c r="L495" s="52" t="s">
        <v>1503</v>
      </c>
      <c r="M495" s="56" t="s">
        <v>119</v>
      </c>
      <c r="N495" s="52" t="s">
        <v>241</v>
      </c>
      <c r="O495" s="53" t="s">
        <v>1978</v>
      </c>
      <c r="P495" s="53" t="s">
        <v>1538</v>
      </c>
      <c r="Q495" s="52">
        <v>796</v>
      </c>
      <c r="R495" s="52" t="s">
        <v>1818</v>
      </c>
      <c r="S495" s="54">
        <v>48</v>
      </c>
      <c r="T495" s="54">
        <f t="shared" si="37"/>
        <v>103.72807017543859</v>
      </c>
      <c r="U495" s="54">
        <f t="shared" si="36"/>
        <v>5067.8571428571431</v>
      </c>
      <c r="V495" s="54">
        <v>5676</v>
      </c>
      <c r="W495" s="52"/>
      <c r="X495" s="52">
        <v>2012</v>
      </c>
      <c r="Y495" s="52"/>
    </row>
    <row r="496" spans="2:25" s="55" customFormat="1" ht="114.75" outlineLevel="1">
      <c r="B496" s="52" t="s">
        <v>1237</v>
      </c>
      <c r="C496" s="78" t="s">
        <v>246</v>
      </c>
      <c r="D496" s="128" t="s">
        <v>265</v>
      </c>
      <c r="E496" s="56" t="s">
        <v>132</v>
      </c>
      <c r="F496" s="56" t="s">
        <v>1439</v>
      </c>
      <c r="G496" s="56"/>
      <c r="H496" s="52" t="s">
        <v>243</v>
      </c>
      <c r="I496" s="52">
        <v>10</v>
      </c>
      <c r="J496" s="52">
        <v>310000000</v>
      </c>
      <c r="K496" s="56" t="s">
        <v>119</v>
      </c>
      <c r="L496" s="52" t="s">
        <v>1503</v>
      </c>
      <c r="M496" s="56" t="s">
        <v>119</v>
      </c>
      <c r="N496" s="52" t="s">
        <v>241</v>
      </c>
      <c r="O496" s="53" t="s">
        <v>1978</v>
      </c>
      <c r="P496" s="53" t="s">
        <v>1538</v>
      </c>
      <c r="Q496" s="52">
        <v>796</v>
      </c>
      <c r="R496" s="52" t="s">
        <v>1818</v>
      </c>
      <c r="S496" s="54">
        <v>48</v>
      </c>
      <c r="T496" s="54">
        <f t="shared" si="37"/>
        <v>141.44736842105263</v>
      </c>
      <c r="U496" s="54">
        <f t="shared" si="36"/>
        <v>6910.7142857142862</v>
      </c>
      <c r="V496" s="54">
        <v>7740</v>
      </c>
      <c r="W496" s="52"/>
      <c r="X496" s="52">
        <v>2012</v>
      </c>
      <c r="Y496" s="52"/>
    </row>
    <row r="497" spans="2:25" s="55" customFormat="1" ht="114.75" outlineLevel="1">
      <c r="B497" s="52" t="s">
        <v>1238</v>
      </c>
      <c r="C497" s="78" t="s">
        <v>246</v>
      </c>
      <c r="D497" s="128" t="s">
        <v>265</v>
      </c>
      <c r="E497" s="56" t="s">
        <v>133</v>
      </c>
      <c r="F497" s="56" t="s">
        <v>1440</v>
      </c>
      <c r="G497" s="56"/>
      <c r="H497" s="52" t="s">
        <v>243</v>
      </c>
      <c r="I497" s="52">
        <v>10</v>
      </c>
      <c r="J497" s="52">
        <v>310000000</v>
      </c>
      <c r="K497" s="56" t="s">
        <v>119</v>
      </c>
      <c r="L497" s="52" t="s">
        <v>1503</v>
      </c>
      <c r="M497" s="56" t="s">
        <v>119</v>
      </c>
      <c r="N497" s="52" t="s">
        <v>241</v>
      </c>
      <c r="O497" s="53" t="s">
        <v>1978</v>
      </c>
      <c r="P497" s="53" t="s">
        <v>1538</v>
      </c>
      <c r="Q497" s="52">
        <v>796</v>
      </c>
      <c r="R497" s="52" t="s">
        <v>1818</v>
      </c>
      <c r="S497" s="54">
        <v>48</v>
      </c>
      <c r="T497" s="54">
        <f t="shared" si="37"/>
        <v>89.583333333333329</v>
      </c>
      <c r="U497" s="54">
        <f t="shared" si="36"/>
        <v>4376.7857142857147</v>
      </c>
      <c r="V497" s="54">
        <v>4902</v>
      </c>
      <c r="W497" s="52"/>
      <c r="X497" s="52">
        <v>2012</v>
      </c>
      <c r="Y497" s="52"/>
    </row>
    <row r="498" spans="2:25" s="55" customFormat="1" ht="114.75" outlineLevel="1">
      <c r="B498" s="52" t="s">
        <v>1239</v>
      </c>
      <c r="C498" s="78" t="s">
        <v>246</v>
      </c>
      <c r="D498" s="128" t="s">
        <v>265</v>
      </c>
      <c r="E498" s="56" t="s">
        <v>134</v>
      </c>
      <c r="F498" s="53" t="s">
        <v>1455</v>
      </c>
      <c r="G498" s="53"/>
      <c r="H498" s="52" t="s">
        <v>243</v>
      </c>
      <c r="I498" s="52">
        <v>10</v>
      </c>
      <c r="J498" s="52">
        <v>310000000</v>
      </c>
      <c r="K498" s="56" t="s">
        <v>119</v>
      </c>
      <c r="L498" s="52" t="s">
        <v>1503</v>
      </c>
      <c r="M498" s="56" t="s">
        <v>119</v>
      </c>
      <c r="N498" s="52" t="s">
        <v>241</v>
      </c>
      <c r="O498" s="53" t="s">
        <v>1978</v>
      </c>
      <c r="P498" s="53" t="s">
        <v>1538</v>
      </c>
      <c r="Q498" s="52">
        <v>704</v>
      </c>
      <c r="R498" s="52" t="s">
        <v>1436</v>
      </c>
      <c r="S498" s="54">
        <v>12</v>
      </c>
      <c r="T498" s="54">
        <f t="shared" si="37"/>
        <v>1131.578947368421</v>
      </c>
      <c r="U498" s="54">
        <f t="shared" si="36"/>
        <v>13821.428571428572</v>
      </c>
      <c r="V498" s="54">
        <v>15480</v>
      </c>
      <c r="W498" s="52"/>
      <c r="X498" s="52">
        <v>2012</v>
      </c>
      <c r="Y498" s="52"/>
    </row>
    <row r="499" spans="2:25" s="55" customFormat="1" ht="114.75" outlineLevel="1">
      <c r="B499" s="52" t="s">
        <v>1240</v>
      </c>
      <c r="C499" s="78" t="s">
        <v>246</v>
      </c>
      <c r="D499" s="128" t="s">
        <v>265</v>
      </c>
      <c r="E499" s="56" t="s">
        <v>135</v>
      </c>
      <c r="F499" s="56" t="s">
        <v>1441</v>
      </c>
      <c r="G499" s="56"/>
      <c r="H499" s="52" t="s">
        <v>243</v>
      </c>
      <c r="I499" s="52">
        <v>10</v>
      </c>
      <c r="J499" s="52">
        <v>310000000</v>
      </c>
      <c r="K499" s="56" t="s">
        <v>119</v>
      </c>
      <c r="L499" s="52" t="s">
        <v>1503</v>
      </c>
      <c r="M499" s="56" t="s">
        <v>119</v>
      </c>
      <c r="N499" s="52" t="s">
        <v>241</v>
      </c>
      <c r="O499" s="53" t="s">
        <v>1978</v>
      </c>
      <c r="P499" s="53" t="s">
        <v>1538</v>
      </c>
      <c r="Q499" s="52">
        <v>796</v>
      </c>
      <c r="R499" s="52" t="s">
        <v>1818</v>
      </c>
      <c r="S499" s="54">
        <v>288</v>
      </c>
      <c r="T499" s="54">
        <f t="shared" si="37"/>
        <v>9.4298245614035086</v>
      </c>
      <c r="U499" s="54">
        <f t="shared" si="36"/>
        <v>2764.2857142857142</v>
      </c>
      <c r="V499" s="54">
        <v>3096</v>
      </c>
      <c r="W499" s="52"/>
      <c r="X499" s="52">
        <v>2012</v>
      </c>
      <c r="Y499" s="52"/>
    </row>
    <row r="500" spans="2:25" s="55" customFormat="1" ht="114.75" outlineLevel="1">
      <c r="B500" s="52" t="s">
        <v>1241</v>
      </c>
      <c r="C500" s="78" t="s">
        <v>246</v>
      </c>
      <c r="D500" s="128" t="s">
        <v>268</v>
      </c>
      <c r="E500" s="56" t="s">
        <v>136</v>
      </c>
      <c r="F500" s="56" t="s">
        <v>1442</v>
      </c>
      <c r="G500" s="56"/>
      <c r="H500" s="52" t="s">
        <v>243</v>
      </c>
      <c r="I500" s="52">
        <v>10</v>
      </c>
      <c r="J500" s="52">
        <v>310000000</v>
      </c>
      <c r="K500" s="56" t="s">
        <v>119</v>
      </c>
      <c r="L500" s="52" t="s">
        <v>1503</v>
      </c>
      <c r="M500" s="56" t="s">
        <v>119</v>
      </c>
      <c r="N500" s="52" t="s">
        <v>241</v>
      </c>
      <c r="O500" s="53" t="s">
        <v>1978</v>
      </c>
      <c r="P500" s="53" t="s">
        <v>1538</v>
      </c>
      <c r="Q500" s="52">
        <v>796</v>
      </c>
      <c r="R500" s="52" t="s">
        <v>1818</v>
      </c>
      <c r="S500" s="54">
        <v>72</v>
      </c>
      <c r="T500" s="54">
        <f t="shared" si="37"/>
        <v>424.34210526315792</v>
      </c>
      <c r="U500" s="54">
        <f t="shared" si="36"/>
        <v>31098.214285714283</v>
      </c>
      <c r="V500" s="54">
        <v>34830</v>
      </c>
      <c r="W500" s="52"/>
      <c r="X500" s="52">
        <v>2012</v>
      </c>
      <c r="Y500" s="52"/>
    </row>
    <row r="501" spans="2:25" s="55" customFormat="1" ht="114.75" outlineLevel="1">
      <c r="B501" s="52" t="s">
        <v>1242</v>
      </c>
      <c r="C501" s="78" t="s">
        <v>246</v>
      </c>
      <c r="D501" s="128" t="s">
        <v>265</v>
      </c>
      <c r="E501" s="56" t="s">
        <v>137</v>
      </c>
      <c r="F501" s="56" t="s">
        <v>1443</v>
      </c>
      <c r="G501" s="56"/>
      <c r="H501" s="52" t="s">
        <v>243</v>
      </c>
      <c r="I501" s="52">
        <v>10</v>
      </c>
      <c r="J501" s="52">
        <v>310000000</v>
      </c>
      <c r="K501" s="56" t="s">
        <v>119</v>
      </c>
      <c r="L501" s="52" t="s">
        <v>1503</v>
      </c>
      <c r="M501" s="56" t="s">
        <v>119</v>
      </c>
      <c r="N501" s="52" t="s">
        <v>241</v>
      </c>
      <c r="O501" s="53" t="s">
        <v>1978</v>
      </c>
      <c r="P501" s="53" t="s">
        <v>1538</v>
      </c>
      <c r="Q501" s="52">
        <v>796</v>
      </c>
      <c r="R501" s="52" t="s">
        <v>1818</v>
      </c>
      <c r="S501" s="54">
        <v>72</v>
      </c>
      <c r="T501" s="54">
        <f t="shared" si="37"/>
        <v>179.16666666666666</v>
      </c>
      <c r="U501" s="54">
        <f t="shared" si="36"/>
        <v>13130.357142857141</v>
      </c>
      <c r="V501" s="54">
        <v>14706</v>
      </c>
      <c r="W501" s="52"/>
      <c r="X501" s="52">
        <v>2012</v>
      </c>
      <c r="Y501" s="52"/>
    </row>
    <row r="502" spans="2:25" s="55" customFormat="1" ht="114.75" outlineLevel="1">
      <c r="B502" s="52" t="s">
        <v>1243</v>
      </c>
      <c r="C502" s="78" t="s">
        <v>246</v>
      </c>
      <c r="D502" s="128" t="s">
        <v>265</v>
      </c>
      <c r="E502" s="56" t="s">
        <v>138</v>
      </c>
      <c r="F502" s="56" t="s">
        <v>1444</v>
      </c>
      <c r="G502" s="56"/>
      <c r="H502" s="52" t="s">
        <v>243</v>
      </c>
      <c r="I502" s="52">
        <v>10</v>
      </c>
      <c r="J502" s="52">
        <v>310000000</v>
      </c>
      <c r="K502" s="56" t="s">
        <v>119</v>
      </c>
      <c r="L502" s="52" t="s">
        <v>1503</v>
      </c>
      <c r="M502" s="56" t="s">
        <v>119</v>
      </c>
      <c r="N502" s="52" t="s">
        <v>241</v>
      </c>
      <c r="O502" s="53" t="s">
        <v>1978</v>
      </c>
      <c r="P502" s="53" t="s">
        <v>1538</v>
      </c>
      <c r="Q502" s="52">
        <v>796</v>
      </c>
      <c r="R502" s="52" t="s">
        <v>1818</v>
      </c>
      <c r="S502" s="54">
        <v>12</v>
      </c>
      <c r="T502" s="54">
        <f t="shared" si="37"/>
        <v>141.44736842105263</v>
      </c>
      <c r="U502" s="54">
        <f t="shared" ref="U502:U565" si="38">V502/112*100</f>
        <v>1727.6785714285716</v>
      </c>
      <c r="V502" s="54">
        <v>1935</v>
      </c>
      <c r="W502" s="52"/>
      <c r="X502" s="52">
        <v>2012</v>
      </c>
      <c r="Y502" s="52"/>
    </row>
    <row r="503" spans="2:25" s="55" customFormat="1" ht="114.75" outlineLevel="1">
      <c r="B503" s="52" t="s">
        <v>1244</v>
      </c>
      <c r="C503" s="78" t="s">
        <v>246</v>
      </c>
      <c r="D503" s="128" t="s">
        <v>265</v>
      </c>
      <c r="E503" s="56" t="s">
        <v>139</v>
      </c>
      <c r="F503" s="56" t="s">
        <v>1445</v>
      </c>
      <c r="G503" s="56"/>
      <c r="H503" s="52" t="s">
        <v>243</v>
      </c>
      <c r="I503" s="52">
        <v>10</v>
      </c>
      <c r="J503" s="52">
        <v>310000000</v>
      </c>
      <c r="K503" s="56" t="s">
        <v>119</v>
      </c>
      <c r="L503" s="52" t="s">
        <v>1503</v>
      </c>
      <c r="M503" s="56" t="s">
        <v>119</v>
      </c>
      <c r="N503" s="52" t="s">
        <v>241</v>
      </c>
      <c r="O503" s="53" t="s">
        <v>1978</v>
      </c>
      <c r="P503" s="53" t="s">
        <v>1538</v>
      </c>
      <c r="Q503" s="52">
        <v>796</v>
      </c>
      <c r="R503" s="52" t="s">
        <v>1818</v>
      </c>
      <c r="S503" s="54">
        <v>72</v>
      </c>
      <c r="T503" s="54">
        <f t="shared" si="37"/>
        <v>99.013157894736821</v>
      </c>
      <c r="U503" s="54">
        <f t="shared" si="38"/>
        <v>7256.25</v>
      </c>
      <c r="V503" s="54">
        <v>8127</v>
      </c>
      <c r="W503" s="52"/>
      <c r="X503" s="52">
        <v>2012</v>
      </c>
      <c r="Y503" s="52"/>
    </row>
    <row r="504" spans="2:25" s="55" customFormat="1" ht="114.75" outlineLevel="1">
      <c r="B504" s="52" t="s">
        <v>1245</v>
      </c>
      <c r="C504" s="78" t="s">
        <v>246</v>
      </c>
      <c r="D504" s="128" t="s">
        <v>265</v>
      </c>
      <c r="E504" s="56" t="s">
        <v>140</v>
      </c>
      <c r="F504" s="57" t="s">
        <v>1446</v>
      </c>
      <c r="G504" s="57"/>
      <c r="H504" s="52" t="s">
        <v>243</v>
      </c>
      <c r="I504" s="52">
        <v>10</v>
      </c>
      <c r="J504" s="52">
        <v>310000000</v>
      </c>
      <c r="K504" s="56" t="s">
        <v>119</v>
      </c>
      <c r="L504" s="52" t="s">
        <v>1503</v>
      </c>
      <c r="M504" s="56" t="s">
        <v>119</v>
      </c>
      <c r="N504" s="52" t="s">
        <v>241</v>
      </c>
      <c r="O504" s="53" t="s">
        <v>1978</v>
      </c>
      <c r="P504" s="53" t="s">
        <v>1538</v>
      </c>
      <c r="Q504" s="52">
        <v>796</v>
      </c>
      <c r="R504" s="52" t="s">
        <v>1818</v>
      </c>
      <c r="S504" s="54">
        <v>72</v>
      </c>
      <c r="T504" s="54">
        <f t="shared" si="37"/>
        <v>84.868421052631589</v>
      </c>
      <c r="U504" s="54">
        <f t="shared" si="38"/>
        <v>6219.6428571428569</v>
      </c>
      <c r="V504" s="54">
        <v>6966</v>
      </c>
      <c r="W504" s="52"/>
      <c r="X504" s="52">
        <v>2012</v>
      </c>
      <c r="Y504" s="52"/>
    </row>
    <row r="505" spans="2:25" s="55" customFormat="1" ht="114.75" outlineLevel="1">
      <c r="B505" s="52" t="s">
        <v>1653</v>
      </c>
      <c r="C505" s="78" t="s">
        <v>246</v>
      </c>
      <c r="D505" s="56" t="s">
        <v>265</v>
      </c>
      <c r="E505" s="56" t="s">
        <v>141</v>
      </c>
      <c r="F505" s="57" t="s">
        <v>1447</v>
      </c>
      <c r="G505" s="57"/>
      <c r="H505" s="52" t="s">
        <v>243</v>
      </c>
      <c r="I505" s="52">
        <v>10</v>
      </c>
      <c r="J505" s="52">
        <v>310000000</v>
      </c>
      <c r="K505" s="56" t="s">
        <v>119</v>
      </c>
      <c r="L505" s="52" t="s">
        <v>1503</v>
      </c>
      <c r="M505" s="56" t="s">
        <v>119</v>
      </c>
      <c r="N505" s="52" t="s">
        <v>241</v>
      </c>
      <c r="O505" s="53" t="s">
        <v>1978</v>
      </c>
      <c r="P505" s="53" t="s">
        <v>1538</v>
      </c>
      <c r="Q505" s="52">
        <v>796</v>
      </c>
      <c r="R505" s="52" t="s">
        <v>1818</v>
      </c>
      <c r="S505" s="54">
        <v>24</v>
      </c>
      <c r="T505" s="54">
        <f t="shared" si="37"/>
        <v>471.49122807017551</v>
      </c>
      <c r="U505" s="54">
        <f t="shared" si="38"/>
        <v>11517.857142857143</v>
      </c>
      <c r="V505" s="54">
        <v>12900</v>
      </c>
      <c r="W505" s="52"/>
      <c r="X505" s="52">
        <v>2012</v>
      </c>
      <c r="Y505" s="52"/>
    </row>
    <row r="506" spans="2:25" s="55" customFormat="1" ht="114.75" outlineLevel="1">
      <c r="B506" s="52" t="s">
        <v>1246</v>
      </c>
      <c r="C506" s="78" t="s">
        <v>246</v>
      </c>
      <c r="D506" s="56" t="s">
        <v>265</v>
      </c>
      <c r="E506" s="56" t="s">
        <v>142</v>
      </c>
      <c r="F506" s="53" t="s">
        <v>1448</v>
      </c>
      <c r="G506" s="53"/>
      <c r="H506" s="52" t="s">
        <v>243</v>
      </c>
      <c r="I506" s="52">
        <v>10</v>
      </c>
      <c r="J506" s="52">
        <v>310000000</v>
      </c>
      <c r="K506" s="56" t="s">
        <v>119</v>
      </c>
      <c r="L506" s="52" t="s">
        <v>1503</v>
      </c>
      <c r="M506" s="56" t="s">
        <v>119</v>
      </c>
      <c r="N506" s="52" t="s">
        <v>241</v>
      </c>
      <c r="O506" s="53" t="s">
        <v>1978</v>
      </c>
      <c r="P506" s="53" t="s">
        <v>1538</v>
      </c>
      <c r="Q506" s="52">
        <v>796</v>
      </c>
      <c r="R506" s="52" t="s">
        <v>1818</v>
      </c>
      <c r="S506" s="54">
        <v>48</v>
      </c>
      <c r="T506" s="54">
        <f t="shared" si="37"/>
        <v>113.1578947368421</v>
      </c>
      <c r="U506" s="54">
        <f t="shared" si="38"/>
        <v>5528.5714285714284</v>
      </c>
      <c r="V506" s="54">
        <v>6192</v>
      </c>
      <c r="W506" s="52"/>
      <c r="X506" s="52">
        <v>2012</v>
      </c>
      <c r="Y506" s="52"/>
    </row>
    <row r="507" spans="2:25" s="55" customFormat="1" ht="114.75" outlineLevel="1">
      <c r="B507" s="52" t="s">
        <v>1247</v>
      </c>
      <c r="C507" s="78" t="s">
        <v>246</v>
      </c>
      <c r="D507" s="128" t="s">
        <v>265</v>
      </c>
      <c r="E507" s="56" t="s">
        <v>143</v>
      </c>
      <c r="F507" s="56" t="s">
        <v>1449</v>
      </c>
      <c r="G507" s="56"/>
      <c r="H507" s="52" t="s">
        <v>243</v>
      </c>
      <c r="I507" s="52">
        <v>10</v>
      </c>
      <c r="J507" s="52">
        <v>310000000</v>
      </c>
      <c r="K507" s="56" t="s">
        <v>119</v>
      </c>
      <c r="L507" s="52" t="s">
        <v>1503</v>
      </c>
      <c r="M507" s="56" t="s">
        <v>119</v>
      </c>
      <c r="N507" s="52" t="s">
        <v>241</v>
      </c>
      <c r="O507" s="53" t="s">
        <v>1978</v>
      </c>
      <c r="P507" s="53" t="s">
        <v>1538</v>
      </c>
      <c r="Q507" s="52">
        <v>796</v>
      </c>
      <c r="R507" s="52" t="s">
        <v>1818</v>
      </c>
      <c r="S507" s="54">
        <v>48</v>
      </c>
      <c r="T507" s="54">
        <f t="shared" si="37"/>
        <v>84.868421052631575</v>
      </c>
      <c r="U507" s="54">
        <f t="shared" si="38"/>
        <v>4146.4285714285716</v>
      </c>
      <c r="V507" s="54">
        <v>4644</v>
      </c>
      <c r="W507" s="52"/>
      <c r="X507" s="52">
        <v>2012</v>
      </c>
      <c r="Y507" s="52"/>
    </row>
    <row r="508" spans="2:25" s="55" customFormat="1" ht="114.75" outlineLevel="1">
      <c r="B508" s="52" t="s">
        <v>1248</v>
      </c>
      <c r="C508" s="78" t="s">
        <v>246</v>
      </c>
      <c r="D508" s="128" t="s">
        <v>265</v>
      </c>
      <c r="E508" s="56" t="s">
        <v>144</v>
      </c>
      <c r="F508" s="56" t="s">
        <v>1450</v>
      </c>
      <c r="G508" s="56"/>
      <c r="H508" s="52" t="s">
        <v>243</v>
      </c>
      <c r="I508" s="52">
        <v>10</v>
      </c>
      <c r="J508" s="52">
        <v>310000000</v>
      </c>
      <c r="K508" s="56" t="s">
        <v>119</v>
      </c>
      <c r="L508" s="52" t="s">
        <v>1503</v>
      </c>
      <c r="M508" s="56" t="s">
        <v>119</v>
      </c>
      <c r="N508" s="52" t="s">
        <v>241</v>
      </c>
      <c r="O508" s="53" t="s">
        <v>1978</v>
      </c>
      <c r="P508" s="53" t="s">
        <v>1538</v>
      </c>
      <c r="Q508" s="52">
        <v>796</v>
      </c>
      <c r="R508" s="52" t="s">
        <v>1818</v>
      </c>
      <c r="S508" s="54">
        <v>48</v>
      </c>
      <c r="T508" s="54">
        <f t="shared" si="37"/>
        <v>47.149122807017541</v>
      </c>
      <c r="U508" s="54">
        <f t="shared" si="38"/>
        <v>2303.5714285714284</v>
      </c>
      <c r="V508" s="54">
        <v>2580</v>
      </c>
      <c r="W508" s="52"/>
      <c r="X508" s="52">
        <v>2012</v>
      </c>
      <c r="Y508" s="52"/>
    </row>
    <row r="509" spans="2:25" s="55" customFormat="1" ht="114.75" outlineLevel="1">
      <c r="B509" s="52" t="s">
        <v>1249</v>
      </c>
      <c r="C509" s="78" t="s">
        <v>246</v>
      </c>
      <c r="D509" s="128" t="s">
        <v>265</v>
      </c>
      <c r="E509" s="56" t="s">
        <v>145</v>
      </c>
      <c r="F509" s="56" t="s">
        <v>1451</v>
      </c>
      <c r="G509" s="56"/>
      <c r="H509" s="52" t="s">
        <v>243</v>
      </c>
      <c r="I509" s="52">
        <v>10</v>
      </c>
      <c r="J509" s="52">
        <v>310000000</v>
      </c>
      <c r="K509" s="56" t="s">
        <v>119</v>
      </c>
      <c r="L509" s="52" t="s">
        <v>1503</v>
      </c>
      <c r="M509" s="56" t="s">
        <v>119</v>
      </c>
      <c r="N509" s="52" t="s">
        <v>241</v>
      </c>
      <c r="O509" s="53" t="s">
        <v>1978</v>
      </c>
      <c r="P509" s="53" t="s">
        <v>1538</v>
      </c>
      <c r="Q509" s="52">
        <v>796</v>
      </c>
      <c r="R509" s="52" t="s">
        <v>1818</v>
      </c>
      <c r="S509" s="54">
        <v>24</v>
      </c>
      <c r="T509" s="54">
        <f t="shared" si="37"/>
        <v>264.03508771929825</v>
      </c>
      <c r="U509" s="54">
        <f t="shared" si="38"/>
        <v>6450</v>
      </c>
      <c r="V509" s="54">
        <v>7224</v>
      </c>
      <c r="W509" s="52"/>
      <c r="X509" s="52">
        <v>2012</v>
      </c>
      <c r="Y509" s="52"/>
    </row>
    <row r="510" spans="2:25" s="55" customFormat="1" ht="114.75" outlineLevel="1">
      <c r="B510" s="52" t="s">
        <v>1250</v>
      </c>
      <c r="C510" s="78" t="s">
        <v>246</v>
      </c>
      <c r="D510" s="128" t="s">
        <v>265</v>
      </c>
      <c r="E510" s="56" t="s">
        <v>146</v>
      </c>
      <c r="F510" s="57" t="s">
        <v>1452</v>
      </c>
      <c r="G510" s="57"/>
      <c r="H510" s="52" t="s">
        <v>243</v>
      </c>
      <c r="I510" s="52">
        <v>10</v>
      </c>
      <c r="J510" s="52">
        <v>310000000</v>
      </c>
      <c r="K510" s="56" t="s">
        <v>119</v>
      </c>
      <c r="L510" s="52" t="s">
        <v>1503</v>
      </c>
      <c r="M510" s="56" t="s">
        <v>119</v>
      </c>
      <c r="N510" s="52" t="s">
        <v>241</v>
      </c>
      <c r="O510" s="53" t="s">
        <v>1978</v>
      </c>
      <c r="P510" s="53" t="s">
        <v>1538</v>
      </c>
      <c r="Q510" s="52">
        <v>796</v>
      </c>
      <c r="R510" s="52" t="s">
        <v>1818</v>
      </c>
      <c r="S510" s="54">
        <v>2.4000000000000004</v>
      </c>
      <c r="T510" s="54">
        <f t="shared" si="37"/>
        <v>2357.4561403508769</v>
      </c>
      <c r="U510" s="54">
        <f t="shared" si="38"/>
        <v>5758.9285714285725</v>
      </c>
      <c r="V510" s="54">
        <v>6450.0000000000009</v>
      </c>
      <c r="W510" s="52"/>
      <c r="X510" s="52">
        <v>2012</v>
      </c>
      <c r="Y510" s="52"/>
    </row>
    <row r="511" spans="2:25" s="55" customFormat="1" ht="114.75" outlineLevel="1">
      <c r="B511" s="52" t="s">
        <v>1251</v>
      </c>
      <c r="C511" s="78" t="s">
        <v>246</v>
      </c>
      <c r="D511" s="128" t="s">
        <v>265</v>
      </c>
      <c r="E511" s="56" t="s">
        <v>147</v>
      </c>
      <c r="F511" s="53" t="s">
        <v>1454</v>
      </c>
      <c r="G511" s="53"/>
      <c r="H511" s="52" t="s">
        <v>243</v>
      </c>
      <c r="I511" s="52">
        <v>10</v>
      </c>
      <c r="J511" s="52">
        <v>310000000</v>
      </c>
      <c r="K511" s="56" t="s">
        <v>119</v>
      </c>
      <c r="L511" s="52" t="s">
        <v>1503</v>
      </c>
      <c r="M511" s="56" t="s">
        <v>119</v>
      </c>
      <c r="N511" s="52" t="s">
        <v>241</v>
      </c>
      <c r="O511" s="53" t="s">
        <v>1978</v>
      </c>
      <c r="P511" s="53" t="s">
        <v>1538</v>
      </c>
      <c r="Q511" s="52">
        <v>796</v>
      </c>
      <c r="R511" s="52" t="s">
        <v>1818</v>
      </c>
      <c r="S511" s="54">
        <v>288</v>
      </c>
      <c r="T511" s="54">
        <f t="shared" si="37"/>
        <v>28.289473684210527</v>
      </c>
      <c r="U511" s="54">
        <f t="shared" si="38"/>
        <v>8292.8571428571431</v>
      </c>
      <c r="V511" s="54">
        <v>9288</v>
      </c>
      <c r="W511" s="52"/>
      <c r="X511" s="52">
        <v>2012</v>
      </c>
      <c r="Y511" s="52"/>
    </row>
    <row r="512" spans="2:25" s="55" customFormat="1" ht="114.75" outlineLevel="1">
      <c r="B512" s="52" t="s">
        <v>1252</v>
      </c>
      <c r="C512" s="78" t="s">
        <v>246</v>
      </c>
      <c r="D512" s="128" t="s">
        <v>265</v>
      </c>
      <c r="E512" s="56" t="s">
        <v>148</v>
      </c>
      <c r="F512" s="57" t="s">
        <v>148</v>
      </c>
      <c r="G512" s="57"/>
      <c r="H512" s="52" t="s">
        <v>243</v>
      </c>
      <c r="I512" s="52">
        <v>10</v>
      </c>
      <c r="J512" s="52">
        <v>310000000</v>
      </c>
      <c r="K512" s="56" t="s">
        <v>119</v>
      </c>
      <c r="L512" s="52" t="s">
        <v>1503</v>
      </c>
      <c r="M512" s="56" t="s">
        <v>119</v>
      </c>
      <c r="N512" s="52" t="s">
        <v>241</v>
      </c>
      <c r="O512" s="53" t="s">
        <v>1978</v>
      </c>
      <c r="P512" s="53" t="s">
        <v>1538</v>
      </c>
      <c r="Q512" s="52">
        <v>796</v>
      </c>
      <c r="R512" s="52" t="s">
        <v>1818</v>
      </c>
      <c r="S512" s="54">
        <v>12</v>
      </c>
      <c r="T512" s="54">
        <f t="shared" si="37"/>
        <v>631.79824561403507</v>
      </c>
      <c r="U512" s="54">
        <f t="shared" si="38"/>
        <v>7716.9642857142862</v>
      </c>
      <c r="V512" s="54">
        <v>8643</v>
      </c>
      <c r="W512" s="52"/>
      <c r="X512" s="52">
        <v>2012</v>
      </c>
      <c r="Y512" s="52"/>
    </row>
    <row r="513" spans="2:25" s="55" customFormat="1" ht="114.75" outlineLevel="1">
      <c r="B513" s="52" t="s">
        <v>1253</v>
      </c>
      <c r="C513" s="78" t="s">
        <v>246</v>
      </c>
      <c r="D513" s="128" t="s">
        <v>265</v>
      </c>
      <c r="E513" s="56" t="s">
        <v>149</v>
      </c>
      <c r="F513" s="57" t="s">
        <v>1453</v>
      </c>
      <c r="G513" s="57"/>
      <c r="H513" s="52" t="s">
        <v>243</v>
      </c>
      <c r="I513" s="52">
        <v>10</v>
      </c>
      <c r="J513" s="52">
        <v>310000000</v>
      </c>
      <c r="K513" s="56" t="s">
        <v>119</v>
      </c>
      <c r="L513" s="52" t="s">
        <v>1503</v>
      </c>
      <c r="M513" s="56" t="s">
        <v>119</v>
      </c>
      <c r="N513" s="52" t="s">
        <v>241</v>
      </c>
      <c r="O513" s="53" t="s">
        <v>1978</v>
      </c>
      <c r="P513" s="53" t="s">
        <v>1538</v>
      </c>
      <c r="Q513" s="52">
        <v>796</v>
      </c>
      <c r="R513" s="52" t="s">
        <v>1818</v>
      </c>
      <c r="S513" s="54">
        <v>144</v>
      </c>
      <c r="T513" s="54">
        <f t="shared" si="37"/>
        <v>28.289473684210527</v>
      </c>
      <c r="U513" s="54">
        <f t="shared" si="38"/>
        <v>4146.4285714285716</v>
      </c>
      <c r="V513" s="54">
        <v>4644</v>
      </c>
      <c r="W513" s="52"/>
      <c r="X513" s="52">
        <v>2012</v>
      </c>
      <c r="Y513" s="52"/>
    </row>
    <row r="514" spans="2:25" s="55" customFormat="1" ht="165.75" outlineLevel="1">
      <c r="B514" s="52" t="s">
        <v>1254</v>
      </c>
      <c r="C514" s="78" t="s">
        <v>246</v>
      </c>
      <c r="D514" s="77">
        <v>27015</v>
      </c>
      <c r="E514" s="56" t="s">
        <v>2325</v>
      </c>
      <c r="F514" s="56" t="s">
        <v>2324</v>
      </c>
      <c r="G514" s="56"/>
      <c r="H514" s="52" t="s">
        <v>243</v>
      </c>
      <c r="I514" s="52">
        <v>10</v>
      </c>
      <c r="J514" s="52">
        <v>270000000</v>
      </c>
      <c r="K514" s="56" t="s">
        <v>98</v>
      </c>
      <c r="L514" s="52" t="s">
        <v>1503</v>
      </c>
      <c r="M514" s="56" t="s">
        <v>98</v>
      </c>
      <c r="N514" s="52" t="s">
        <v>241</v>
      </c>
      <c r="O514" s="53" t="s">
        <v>1978</v>
      </c>
      <c r="P514" s="53" t="s">
        <v>1538</v>
      </c>
      <c r="Q514" s="52">
        <v>5111</v>
      </c>
      <c r="R514" s="52" t="s">
        <v>1434</v>
      </c>
      <c r="S514" s="54">
        <v>216</v>
      </c>
      <c r="T514" s="54">
        <f t="shared" si="37"/>
        <v>565.78947368421052</v>
      </c>
      <c r="U514" s="54">
        <f t="shared" si="38"/>
        <v>124392.85714285713</v>
      </c>
      <c r="V514" s="54">
        <v>139320</v>
      </c>
      <c r="W514" s="52"/>
      <c r="X514" s="52">
        <v>2012</v>
      </c>
      <c r="Y514" s="52"/>
    </row>
    <row r="515" spans="2:25" s="55" customFormat="1" ht="114.75" outlineLevel="1">
      <c r="B515" s="52" t="s">
        <v>1255</v>
      </c>
      <c r="C515" s="78" t="s">
        <v>246</v>
      </c>
      <c r="D515" s="56" t="s">
        <v>263</v>
      </c>
      <c r="E515" s="56" t="s">
        <v>130</v>
      </c>
      <c r="F515" s="56" t="s">
        <v>1438</v>
      </c>
      <c r="G515" s="56"/>
      <c r="H515" s="52" t="s">
        <v>243</v>
      </c>
      <c r="I515" s="52">
        <v>10</v>
      </c>
      <c r="J515" s="52">
        <v>270000000</v>
      </c>
      <c r="K515" s="56" t="s">
        <v>98</v>
      </c>
      <c r="L515" s="52" t="s">
        <v>1503</v>
      </c>
      <c r="M515" s="56" t="s">
        <v>98</v>
      </c>
      <c r="N515" s="52" t="s">
        <v>241</v>
      </c>
      <c r="O515" s="53" t="s">
        <v>1978</v>
      </c>
      <c r="P515" s="53" t="s">
        <v>1538</v>
      </c>
      <c r="Q515" s="52">
        <v>736</v>
      </c>
      <c r="R515" s="52" t="s">
        <v>1435</v>
      </c>
      <c r="S515" s="54">
        <v>18</v>
      </c>
      <c r="T515" s="54">
        <f t="shared" si="37"/>
        <v>216.88596491228071</v>
      </c>
      <c r="U515" s="54">
        <f t="shared" si="38"/>
        <v>3973.6607142857147</v>
      </c>
      <c r="V515" s="54">
        <v>4450.5</v>
      </c>
      <c r="W515" s="52"/>
      <c r="X515" s="52">
        <v>2012</v>
      </c>
      <c r="Y515" s="52"/>
    </row>
    <row r="516" spans="2:25" s="55" customFormat="1" ht="114.75" outlineLevel="1">
      <c r="B516" s="52" t="s">
        <v>1256</v>
      </c>
      <c r="C516" s="78" t="s">
        <v>246</v>
      </c>
      <c r="D516" s="128" t="s">
        <v>265</v>
      </c>
      <c r="E516" s="56" t="s">
        <v>131</v>
      </c>
      <c r="F516" s="53" t="s">
        <v>1456</v>
      </c>
      <c r="G516" s="53"/>
      <c r="H516" s="52" t="s">
        <v>243</v>
      </c>
      <c r="I516" s="52">
        <v>10</v>
      </c>
      <c r="J516" s="52">
        <v>270000000</v>
      </c>
      <c r="K516" s="56" t="s">
        <v>98</v>
      </c>
      <c r="L516" s="52" t="s">
        <v>1503</v>
      </c>
      <c r="M516" s="56" t="s">
        <v>98</v>
      </c>
      <c r="N516" s="52" t="s">
        <v>241</v>
      </c>
      <c r="O516" s="53" t="s">
        <v>1978</v>
      </c>
      <c r="P516" s="53" t="s">
        <v>1538</v>
      </c>
      <c r="Q516" s="52">
        <v>796</v>
      </c>
      <c r="R516" s="52" t="s">
        <v>1818</v>
      </c>
      <c r="S516" s="54">
        <v>36</v>
      </c>
      <c r="T516" s="54">
        <f t="shared" si="37"/>
        <v>103.7280701754386</v>
      </c>
      <c r="U516" s="54">
        <f t="shared" si="38"/>
        <v>3800.8928571428569</v>
      </c>
      <c r="V516" s="54">
        <v>4257</v>
      </c>
      <c r="W516" s="52"/>
      <c r="X516" s="52">
        <v>2012</v>
      </c>
      <c r="Y516" s="52"/>
    </row>
    <row r="517" spans="2:25" s="55" customFormat="1" ht="114.75" outlineLevel="1">
      <c r="B517" s="52" t="s">
        <v>1257</v>
      </c>
      <c r="C517" s="78" t="s">
        <v>246</v>
      </c>
      <c r="D517" s="128" t="s">
        <v>265</v>
      </c>
      <c r="E517" s="56" t="s">
        <v>132</v>
      </c>
      <c r="F517" s="56" t="s">
        <v>1439</v>
      </c>
      <c r="G517" s="56"/>
      <c r="H517" s="52" t="s">
        <v>243</v>
      </c>
      <c r="I517" s="52">
        <v>10</v>
      </c>
      <c r="J517" s="52">
        <v>270000000</v>
      </c>
      <c r="K517" s="56" t="s">
        <v>98</v>
      </c>
      <c r="L517" s="52" t="s">
        <v>1503</v>
      </c>
      <c r="M517" s="56" t="s">
        <v>98</v>
      </c>
      <c r="N517" s="52" t="s">
        <v>241</v>
      </c>
      <c r="O517" s="53" t="s">
        <v>1978</v>
      </c>
      <c r="P517" s="53" t="s">
        <v>1538</v>
      </c>
      <c r="Q517" s="52">
        <v>796</v>
      </c>
      <c r="R517" s="52" t="s">
        <v>1818</v>
      </c>
      <c r="S517" s="54">
        <v>36</v>
      </c>
      <c r="T517" s="54">
        <f t="shared" si="37"/>
        <v>141.4473684210526</v>
      </c>
      <c r="U517" s="54">
        <f t="shared" si="38"/>
        <v>5183.0357142857147</v>
      </c>
      <c r="V517" s="54">
        <v>5805</v>
      </c>
      <c r="W517" s="52"/>
      <c r="X517" s="52">
        <v>2012</v>
      </c>
      <c r="Y517" s="52"/>
    </row>
    <row r="518" spans="2:25" s="55" customFormat="1" ht="114.75" outlineLevel="1">
      <c r="B518" s="52" t="s">
        <v>1258</v>
      </c>
      <c r="C518" s="78" t="s">
        <v>246</v>
      </c>
      <c r="D518" s="128" t="s">
        <v>265</v>
      </c>
      <c r="E518" s="56" t="s">
        <v>133</v>
      </c>
      <c r="F518" s="56" t="s">
        <v>1440</v>
      </c>
      <c r="G518" s="56"/>
      <c r="H518" s="52" t="s">
        <v>243</v>
      </c>
      <c r="I518" s="52">
        <v>10</v>
      </c>
      <c r="J518" s="52">
        <v>270000000</v>
      </c>
      <c r="K518" s="56" t="s">
        <v>98</v>
      </c>
      <c r="L518" s="52" t="s">
        <v>1503</v>
      </c>
      <c r="M518" s="56" t="s">
        <v>98</v>
      </c>
      <c r="N518" s="52" t="s">
        <v>241</v>
      </c>
      <c r="O518" s="53" t="s">
        <v>1978</v>
      </c>
      <c r="P518" s="53" t="s">
        <v>1538</v>
      </c>
      <c r="Q518" s="52">
        <v>796</v>
      </c>
      <c r="R518" s="52" t="s">
        <v>1818</v>
      </c>
      <c r="S518" s="54">
        <v>36</v>
      </c>
      <c r="T518" s="54">
        <f t="shared" si="37"/>
        <v>89.583333333333329</v>
      </c>
      <c r="U518" s="54">
        <f t="shared" si="38"/>
        <v>3282.5892857142853</v>
      </c>
      <c r="V518" s="54">
        <v>3676.5</v>
      </c>
      <c r="W518" s="52"/>
      <c r="X518" s="52">
        <v>2012</v>
      </c>
      <c r="Y518" s="52"/>
    </row>
    <row r="519" spans="2:25" s="55" customFormat="1" ht="114.75" outlineLevel="1">
      <c r="B519" s="52" t="s">
        <v>1259</v>
      </c>
      <c r="C519" s="78" t="s">
        <v>246</v>
      </c>
      <c r="D519" s="128" t="s">
        <v>265</v>
      </c>
      <c r="E519" s="56" t="s">
        <v>134</v>
      </c>
      <c r="F519" s="53" t="s">
        <v>1455</v>
      </c>
      <c r="G519" s="53"/>
      <c r="H519" s="52" t="s">
        <v>243</v>
      </c>
      <c r="I519" s="52">
        <v>10</v>
      </c>
      <c r="J519" s="52">
        <v>270000000</v>
      </c>
      <c r="K519" s="56" t="s">
        <v>98</v>
      </c>
      <c r="L519" s="52" t="s">
        <v>1503</v>
      </c>
      <c r="M519" s="56" t="s">
        <v>98</v>
      </c>
      <c r="N519" s="52" t="s">
        <v>241</v>
      </c>
      <c r="O519" s="53" t="s">
        <v>1978</v>
      </c>
      <c r="P519" s="53" t="s">
        <v>1538</v>
      </c>
      <c r="Q519" s="52">
        <v>704</v>
      </c>
      <c r="R519" s="52" t="s">
        <v>1436</v>
      </c>
      <c r="S519" s="54">
        <v>9</v>
      </c>
      <c r="T519" s="54">
        <f t="shared" si="37"/>
        <v>1131.5789473684208</v>
      </c>
      <c r="U519" s="54">
        <f t="shared" si="38"/>
        <v>10366.071428571429</v>
      </c>
      <c r="V519" s="54">
        <v>11610</v>
      </c>
      <c r="W519" s="52"/>
      <c r="X519" s="52">
        <v>2012</v>
      </c>
      <c r="Y519" s="52"/>
    </row>
    <row r="520" spans="2:25" s="55" customFormat="1" ht="114.75" outlineLevel="1">
      <c r="B520" s="52" t="s">
        <v>1260</v>
      </c>
      <c r="C520" s="78" t="s">
        <v>246</v>
      </c>
      <c r="D520" s="128" t="s">
        <v>265</v>
      </c>
      <c r="E520" s="56" t="s">
        <v>135</v>
      </c>
      <c r="F520" s="56" t="s">
        <v>1441</v>
      </c>
      <c r="G520" s="56"/>
      <c r="H520" s="52" t="s">
        <v>243</v>
      </c>
      <c r="I520" s="52">
        <v>10</v>
      </c>
      <c r="J520" s="52">
        <v>270000000</v>
      </c>
      <c r="K520" s="56" t="s">
        <v>98</v>
      </c>
      <c r="L520" s="52" t="s">
        <v>1503</v>
      </c>
      <c r="M520" s="56" t="s">
        <v>98</v>
      </c>
      <c r="N520" s="52" t="s">
        <v>241</v>
      </c>
      <c r="O520" s="53" t="s">
        <v>1978</v>
      </c>
      <c r="P520" s="53" t="s">
        <v>1538</v>
      </c>
      <c r="Q520" s="52">
        <v>796</v>
      </c>
      <c r="R520" s="52" t="s">
        <v>1818</v>
      </c>
      <c r="S520" s="54">
        <v>216</v>
      </c>
      <c r="T520" s="54">
        <f t="shared" si="37"/>
        <v>9.4298245614035086</v>
      </c>
      <c r="U520" s="54">
        <f t="shared" si="38"/>
        <v>2073.2142857142858</v>
      </c>
      <c r="V520" s="54">
        <v>2322</v>
      </c>
      <c r="W520" s="52"/>
      <c r="X520" s="52">
        <v>2012</v>
      </c>
      <c r="Y520" s="52"/>
    </row>
    <row r="521" spans="2:25" s="55" customFormat="1" ht="114.75" outlineLevel="1">
      <c r="B521" s="52" t="s">
        <v>1261</v>
      </c>
      <c r="C521" s="78" t="s">
        <v>246</v>
      </c>
      <c r="D521" s="128" t="s">
        <v>268</v>
      </c>
      <c r="E521" s="56" t="s">
        <v>136</v>
      </c>
      <c r="F521" s="56" t="s">
        <v>1442</v>
      </c>
      <c r="G521" s="56"/>
      <c r="H521" s="52" t="s">
        <v>243</v>
      </c>
      <c r="I521" s="52">
        <v>10</v>
      </c>
      <c r="J521" s="52">
        <v>270000000</v>
      </c>
      <c r="K521" s="56" t="s">
        <v>98</v>
      </c>
      <c r="L521" s="52" t="s">
        <v>1503</v>
      </c>
      <c r="M521" s="56" t="s">
        <v>98</v>
      </c>
      <c r="N521" s="52" t="s">
        <v>241</v>
      </c>
      <c r="O521" s="53" t="s">
        <v>1978</v>
      </c>
      <c r="P521" s="53" t="s">
        <v>1538</v>
      </c>
      <c r="Q521" s="52">
        <v>796</v>
      </c>
      <c r="R521" s="52" t="s">
        <v>1818</v>
      </c>
      <c r="S521" s="54">
        <v>54</v>
      </c>
      <c r="T521" s="54">
        <f t="shared" si="37"/>
        <v>424.34210526315792</v>
      </c>
      <c r="U521" s="54">
        <f t="shared" si="38"/>
        <v>23323.660714285714</v>
      </c>
      <c r="V521" s="54">
        <v>26122.5</v>
      </c>
      <c r="W521" s="52"/>
      <c r="X521" s="52">
        <v>2012</v>
      </c>
      <c r="Y521" s="52"/>
    </row>
    <row r="522" spans="2:25" s="55" customFormat="1" ht="114.75" outlineLevel="1">
      <c r="B522" s="52" t="s">
        <v>1262</v>
      </c>
      <c r="C522" s="78" t="s">
        <v>246</v>
      </c>
      <c r="D522" s="128" t="s">
        <v>265</v>
      </c>
      <c r="E522" s="56" t="s">
        <v>137</v>
      </c>
      <c r="F522" s="56" t="s">
        <v>1443</v>
      </c>
      <c r="G522" s="56"/>
      <c r="H522" s="52" t="s">
        <v>243</v>
      </c>
      <c r="I522" s="52">
        <v>10</v>
      </c>
      <c r="J522" s="52">
        <v>270000000</v>
      </c>
      <c r="K522" s="56" t="s">
        <v>98</v>
      </c>
      <c r="L522" s="52" t="s">
        <v>1503</v>
      </c>
      <c r="M522" s="56" t="s">
        <v>98</v>
      </c>
      <c r="N522" s="52" t="s">
        <v>241</v>
      </c>
      <c r="O522" s="53" t="s">
        <v>1978</v>
      </c>
      <c r="P522" s="53" t="s">
        <v>1538</v>
      </c>
      <c r="Q522" s="52">
        <v>796</v>
      </c>
      <c r="R522" s="52" t="s">
        <v>1818</v>
      </c>
      <c r="S522" s="54">
        <v>54</v>
      </c>
      <c r="T522" s="54">
        <f t="shared" si="37"/>
        <v>179.16666666666666</v>
      </c>
      <c r="U522" s="54">
        <f t="shared" si="38"/>
        <v>9847.7678571428569</v>
      </c>
      <c r="V522" s="54">
        <v>11029.5</v>
      </c>
      <c r="W522" s="52"/>
      <c r="X522" s="52">
        <v>2012</v>
      </c>
      <c r="Y522" s="52"/>
    </row>
    <row r="523" spans="2:25" s="55" customFormat="1" ht="114.75" outlineLevel="1">
      <c r="B523" s="52" t="s">
        <v>1263</v>
      </c>
      <c r="C523" s="78" t="s">
        <v>246</v>
      </c>
      <c r="D523" s="128" t="s">
        <v>265</v>
      </c>
      <c r="E523" s="56" t="s">
        <v>138</v>
      </c>
      <c r="F523" s="56" t="s">
        <v>1444</v>
      </c>
      <c r="G523" s="56"/>
      <c r="H523" s="52" t="s">
        <v>243</v>
      </c>
      <c r="I523" s="52">
        <v>10</v>
      </c>
      <c r="J523" s="52">
        <v>270000000</v>
      </c>
      <c r="K523" s="56" t="s">
        <v>98</v>
      </c>
      <c r="L523" s="52" t="s">
        <v>1503</v>
      </c>
      <c r="M523" s="56" t="s">
        <v>98</v>
      </c>
      <c r="N523" s="52" t="s">
        <v>241</v>
      </c>
      <c r="O523" s="53" t="s">
        <v>1978</v>
      </c>
      <c r="P523" s="53" t="s">
        <v>1538</v>
      </c>
      <c r="Q523" s="52">
        <v>796</v>
      </c>
      <c r="R523" s="52" t="s">
        <v>1818</v>
      </c>
      <c r="S523" s="54">
        <v>9</v>
      </c>
      <c r="T523" s="54">
        <f t="shared" si="37"/>
        <v>141.4473684210526</v>
      </c>
      <c r="U523" s="54">
        <f t="shared" si="38"/>
        <v>1295.7589285714287</v>
      </c>
      <c r="V523" s="54">
        <v>1451.25</v>
      </c>
      <c r="W523" s="52"/>
      <c r="X523" s="52">
        <v>2012</v>
      </c>
      <c r="Y523" s="52"/>
    </row>
    <row r="524" spans="2:25" s="55" customFormat="1" ht="114.75" outlineLevel="1">
      <c r="B524" s="52" t="s">
        <v>1264</v>
      </c>
      <c r="C524" s="78" t="s">
        <v>246</v>
      </c>
      <c r="D524" s="128" t="s">
        <v>265</v>
      </c>
      <c r="E524" s="56" t="s">
        <v>139</v>
      </c>
      <c r="F524" s="56" t="s">
        <v>1445</v>
      </c>
      <c r="G524" s="56"/>
      <c r="H524" s="52" t="s">
        <v>243</v>
      </c>
      <c r="I524" s="52">
        <v>10</v>
      </c>
      <c r="J524" s="52">
        <v>270000000</v>
      </c>
      <c r="K524" s="56" t="s">
        <v>98</v>
      </c>
      <c r="L524" s="52" t="s">
        <v>1503</v>
      </c>
      <c r="M524" s="56" t="s">
        <v>98</v>
      </c>
      <c r="N524" s="52" t="s">
        <v>241</v>
      </c>
      <c r="O524" s="53" t="s">
        <v>1978</v>
      </c>
      <c r="P524" s="53" t="s">
        <v>1538</v>
      </c>
      <c r="Q524" s="52">
        <v>796</v>
      </c>
      <c r="R524" s="52" t="s">
        <v>1818</v>
      </c>
      <c r="S524" s="54">
        <v>54</v>
      </c>
      <c r="T524" s="54">
        <f t="shared" si="37"/>
        <v>99.01315789473685</v>
      </c>
      <c r="U524" s="54">
        <f t="shared" si="38"/>
        <v>5442.1875</v>
      </c>
      <c r="V524" s="54">
        <v>6095.25</v>
      </c>
      <c r="W524" s="52"/>
      <c r="X524" s="52">
        <v>2012</v>
      </c>
      <c r="Y524" s="52"/>
    </row>
    <row r="525" spans="2:25" s="55" customFormat="1" ht="114.75" outlineLevel="1">
      <c r="B525" s="52" t="s">
        <v>1265</v>
      </c>
      <c r="C525" s="78" t="s">
        <v>246</v>
      </c>
      <c r="D525" s="128" t="s">
        <v>265</v>
      </c>
      <c r="E525" s="56" t="s">
        <v>140</v>
      </c>
      <c r="F525" s="57" t="s">
        <v>1446</v>
      </c>
      <c r="G525" s="57"/>
      <c r="H525" s="52" t="s">
        <v>243</v>
      </c>
      <c r="I525" s="52">
        <v>10</v>
      </c>
      <c r="J525" s="52">
        <v>270000000</v>
      </c>
      <c r="K525" s="56" t="s">
        <v>98</v>
      </c>
      <c r="L525" s="52" t="s">
        <v>1503</v>
      </c>
      <c r="M525" s="56" t="s">
        <v>98</v>
      </c>
      <c r="N525" s="52" t="s">
        <v>241</v>
      </c>
      <c r="O525" s="53" t="s">
        <v>1978</v>
      </c>
      <c r="P525" s="53" t="s">
        <v>1538</v>
      </c>
      <c r="Q525" s="52">
        <v>796</v>
      </c>
      <c r="R525" s="52" t="s">
        <v>1818</v>
      </c>
      <c r="S525" s="54">
        <v>54</v>
      </c>
      <c r="T525" s="54">
        <f t="shared" si="37"/>
        <v>84.868421052631589</v>
      </c>
      <c r="U525" s="54">
        <f t="shared" si="38"/>
        <v>4664.7321428571431</v>
      </c>
      <c r="V525" s="54">
        <v>5224.5</v>
      </c>
      <c r="W525" s="52"/>
      <c r="X525" s="52">
        <v>2012</v>
      </c>
      <c r="Y525" s="52"/>
    </row>
    <row r="526" spans="2:25" s="55" customFormat="1" ht="114.75" outlineLevel="1">
      <c r="B526" s="52" t="s">
        <v>1266</v>
      </c>
      <c r="C526" s="78" t="s">
        <v>246</v>
      </c>
      <c r="D526" s="56" t="s">
        <v>265</v>
      </c>
      <c r="E526" s="56" t="s">
        <v>141</v>
      </c>
      <c r="F526" s="57" t="s">
        <v>1447</v>
      </c>
      <c r="G526" s="57"/>
      <c r="H526" s="52" t="s">
        <v>243</v>
      </c>
      <c r="I526" s="52">
        <v>10</v>
      </c>
      <c r="J526" s="52">
        <v>270000000</v>
      </c>
      <c r="K526" s="56" t="s">
        <v>98</v>
      </c>
      <c r="L526" s="52" t="s">
        <v>1503</v>
      </c>
      <c r="M526" s="56" t="s">
        <v>98</v>
      </c>
      <c r="N526" s="52" t="s">
        <v>241</v>
      </c>
      <c r="O526" s="53" t="s">
        <v>1978</v>
      </c>
      <c r="P526" s="53" t="s">
        <v>1538</v>
      </c>
      <c r="Q526" s="52">
        <v>796</v>
      </c>
      <c r="R526" s="52" t="s">
        <v>1818</v>
      </c>
      <c r="S526" s="54">
        <v>18</v>
      </c>
      <c r="T526" s="54">
        <f t="shared" si="37"/>
        <v>471.49122807017545</v>
      </c>
      <c r="U526" s="54">
        <f t="shared" si="38"/>
        <v>8638.3928571428569</v>
      </c>
      <c r="V526" s="54">
        <v>9675</v>
      </c>
      <c r="W526" s="52"/>
      <c r="X526" s="52">
        <v>2012</v>
      </c>
      <c r="Y526" s="52"/>
    </row>
    <row r="527" spans="2:25" s="55" customFormat="1" ht="114.75" outlineLevel="1">
      <c r="B527" s="52" t="s">
        <v>1654</v>
      </c>
      <c r="C527" s="78" t="s">
        <v>246</v>
      </c>
      <c r="D527" s="56" t="s">
        <v>265</v>
      </c>
      <c r="E527" s="56" t="s">
        <v>142</v>
      </c>
      <c r="F527" s="53" t="s">
        <v>1448</v>
      </c>
      <c r="G527" s="53"/>
      <c r="H527" s="52" t="s">
        <v>243</v>
      </c>
      <c r="I527" s="52">
        <v>10</v>
      </c>
      <c r="J527" s="52">
        <v>270000000</v>
      </c>
      <c r="K527" s="56" t="s">
        <v>98</v>
      </c>
      <c r="L527" s="52" t="s">
        <v>1503</v>
      </c>
      <c r="M527" s="56" t="s">
        <v>98</v>
      </c>
      <c r="N527" s="52" t="s">
        <v>241</v>
      </c>
      <c r="O527" s="53" t="s">
        <v>1978</v>
      </c>
      <c r="P527" s="53" t="s">
        <v>1538</v>
      </c>
      <c r="Q527" s="52">
        <v>796</v>
      </c>
      <c r="R527" s="52" t="s">
        <v>1818</v>
      </c>
      <c r="S527" s="54">
        <v>36</v>
      </c>
      <c r="T527" s="54">
        <f t="shared" si="37"/>
        <v>113.15789473684211</v>
      </c>
      <c r="U527" s="54">
        <f t="shared" si="38"/>
        <v>4146.4285714285716</v>
      </c>
      <c r="V527" s="54">
        <v>4644</v>
      </c>
      <c r="W527" s="52"/>
      <c r="X527" s="52">
        <v>2012</v>
      </c>
      <c r="Y527" s="52"/>
    </row>
    <row r="528" spans="2:25" s="55" customFormat="1" ht="114.75" outlineLevel="1">
      <c r="B528" s="52" t="s">
        <v>1267</v>
      </c>
      <c r="C528" s="78" t="s">
        <v>246</v>
      </c>
      <c r="D528" s="128" t="s">
        <v>265</v>
      </c>
      <c r="E528" s="56" t="s">
        <v>143</v>
      </c>
      <c r="F528" s="56" t="s">
        <v>1449</v>
      </c>
      <c r="G528" s="56"/>
      <c r="H528" s="52" t="s">
        <v>243</v>
      </c>
      <c r="I528" s="52">
        <v>10</v>
      </c>
      <c r="J528" s="52">
        <v>270000000</v>
      </c>
      <c r="K528" s="56" t="s">
        <v>98</v>
      </c>
      <c r="L528" s="52" t="s">
        <v>1503</v>
      </c>
      <c r="M528" s="56" t="s">
        <v>98</v>
      </c>
      <c r="N528" s="52" t="s">
        <v>241</v>
      </c>
      <c r="O528" s="53" t="s">
        <v>1978</v>
      </c>
      <c r="P528" s="53" t="s">
        <v>1538</v>
      </c>
      <c r="Q528" s="52">
        <v>796</v>
      </c>
      <c r="R528" s="52" t="s">
        <v>1818</v>
      </c>
      <c r="S528" s="54">
        <v>36</v>
      </c>
      <c r="T528" s="54">
        <f t="shared" si="37"/>
        <v>84.868421052631589</v>
      </c>
      <c r="U528" s="54">
        <f t="shared" si="38"/>
        <v>3109.8214285714284</v>
      </c>
      <c r="V528" s="54">
        <v>3483</v>
      </c>
      <c r="W528" s="52"/>
      <c r="X528" s="52">
        <v>2012</v>
      </c>
      <c r="Y528" s="52"/>
    </row>
    <row r="529" spans="2:25" s="55" customFormat="1" ht="114.75" outlineLevel="1">
      <c r="B529" s="52" t="s">
        <v>1268</v>
      </c>
      <c r="C529" s="78" t="s">
        <v>246</v>
      </c>
      <c r="D529" s="128" t="s">
        <v>265</v>
      </c>
      <c r="E529" s="56" t="s">
        <v>144</v>
      </c>
      <c r="F529" s="56" t="s">
        <v>1450</v>
      </c>
      <c r="G529" s="56"/>
      <c r="H529" s="52" t="s">
        <v>243</v>
      </c>
      <c r="I529" s="52">
        <v>10</v>
      </c>
      <c r="J529" s="52">
        <v>270000000</v>
      </c>
      <c r="K529" s="56" t="s">
        <v>98</v>
      </c>
      <c r="L529" s="52" t="s">
        <v>1503</v>
      </c>
      <c r="M529" s="56" t="s">
        <v>98</v>
      </c>
      <c r="N529" s="52" t="s">
        <v>241</v>
      </c>
      <c r="O529" s="53" t="s">
        <v>1978</v>
      </c>
      <c r="P529" s="53" t="s">
        <v>1538</v>
      </c>
      <c r="Q529" s="52">
        <v>796</v>
      </c>
      <c r="R529" s="52" t="s">
        <v>1818</v>
      </c>
      <c r="S529" s="54">
        <v>36</v>
      </c>
      <c r="T529" s="54">
        <f t="shared" si="37"/>
        <v>47.149122807017541</v>
      </c>
      <c r="U529" s="54">
        <f t="shared" si="38"/>
        <v>1727.6785714285716</v>
      </c>
      <c r="V529" s="54">
        <v>1935</v>
      </c>
      <c r="W529" s="52"/>
      <c r="X529" s="52">
        <v>2012</v>
      </c>
      <c r="Y529" s="52"/>
    </row>
    <row r="530" spans="2:25" s="55" customFormat="1" ht="114.75" outlineLevel="1">
      <c r="B530" s="52" t="s">
        <v>1269</v>
      </c>
      <c r="C530" s="78" t="s">
        <v>246</v>
      </c>
      <c r="D530" s="128" t="s">
        <v>265</v>
      </c>
      <c r="E530" s="56" t="s">
        <v>145</v>
      </c>
      <c r="F530" s="56" t="s">
        <v>1451</v>
      </c>
      <c r="G530" s="56"/>
      <c r="H530" s="52" t="s">
        <v>243</v>
      </c>
      <c r="I530" s="52">
        <v>10</v>
      </c>
      <c r="J530" s="52">
        <v>270000000</v>
      </c>
      <c r="K530" s="56" t="s">
        <v>98</v>
      </c>
      <c r="L530" s="52" t="s">
        <v>1503</v>
      </c>
      <c r="M530" s="56" t="s">
        <v>98</v>
      </c>
      <c r="N530" s="52" t="s">
        <v>241</v>
      </c>
      <c r="O530" s="53" t="s">
        <v>1978</v>
      </c>
      <c r="P530" s="53" t="s">
        <v>1538</v>
      </c>
      <c r="Q530" s="52">
        <v>796</v>
      </c>
      <c r="R530" s="52" t="s">
        <v>1818</v>
      </c>
      <c r="S530" s="54">
        <v>18</v>
      </c>
      <c r="T530" s="54">
        <f t="shared" si="37"/>
        <v>264.03508771929825</v>
      </c>
      <c r="U530" s="54">
        <f t="shared" si="38"/>
        <v>4837.5</v>
      </c>
      <c r="V530" s="54">
        <v>5418</v>
      </c>
      <c r="W530" s="52"/>
      <c r="X530" s="52">
        <v>2012</v>
      </c>
      <c r="Y530" s="52"/>
    </row>
    <row r="531" spans="2:25" s="55" customFormat="1" ht="114.75" outlineLevel="1">
      <c r="B531" s="52" t="s">
        <v>1270</v>
      </c>
      <c r="C531" s="78" t="s">
        <v>246</v>
      </c>
      <c r="D531" s="128" t="s">
        <v>265</v>
      </c>
      <c r="E531" s="56" t="s">
        <v>146</v>
      </c>
      <c r="F531" s="57" t="s">
        <v>1452</v>
      </c>
      <c r="G531" s="57"/>
      <c r="H531" s="52" t="s">
        <v>243</v>
      </c>
      <c r="I531" s="52">
        <v>10</v>
      </c>
      <c r="J531" s="52">
        <v>270000000</v>
      </c>
      <c r="K531" s="56" t="s">
        <v>98</v>
      </c>
      <c r="L531" s="52" t="s">
        <v>1503</v>
      </c>
      <c r="M531" s="56" t="s">
        <v>98</v>
      </c>
      <c r="N531" s="52" t="s">
        <v>241</v>
      </c>
      <c r="O531" s="53" t="s">
        <v>1978</v>
      </c>
      <c r="P531" s="53" t="s">
        <v>1538</v>
      </c>
      <c r="Q531" s="52">
        <v>796</v>
      </c>
      <c r="R531" s="52" t="s">
        <v>1818</v>
      </c>
      <c r="S531" s="54">
        <v>1.8</v>
      </c>
      <c r="T531" s="54">
        <f t="shared" si="37"/>
        <v>2357.4561403508774</v>
      </c>
      <c r="U531" s="54">
        <f t="shared" si="38"/>
        <v>4319.1964285714284</v>
      </c>
      <c r="V531" s="54">
        <v>4837.5</v>
      </c>
      <c r="W531" s="52"/>
      <c r="X531" s="52">
        <v>2012</v>
      </c>
      <c r="Y531" s="52"/>
    </row>
    <row r="532" spans="2:25" s="55" customFormat="1" ht="114.75" outlineLevel="1">
      <c r="B532" s="52" t="s">
        <v>1271</v>
      </c>
      <c r="C532" s="78" t="s">
        <v>246</v>
      </c>
      <c r="D532" s="128" t="s">
        <v>265</v>
      </c>
      <c r="E532" s="56" t="s">
        <v>147</v>
      </c>
      <c r="F532" s="53" t="s">
        <v>1454</v>
      </c>
      <c r="G532" s="53"/>
      <c r="H532" s="52" t="s">
        <v>243</v>
      </c>
      <c r="I532" s="52">
        <v>10</v>
      </c>
      <c r="J532" s="52">
        <v>270000000</v>
      </c>
      <c r="K532" s="56" t="s">
        <v>98</v>
      </c>
      <c r="L532" s="52" t="s">
        <v>1503</v>
      </c>
      <c r="M532" s="56" t="s">
        <v>98</v>
      </c>
      <c r="N532" s="52" t="s">
        <v>241</v>
      </c>
      <c r="O532" s="53" t="s">
        <v>1978</v>
      </c>
      <c r="P532" s="53" t="s">
        <v>1538</v>
      </c>
      <c r="Q532" s="52">
        <v>796</v>
      </c>
      <c r="R532" s="52" t="s">
        <v>1818</v>
      </c>
      <c r="S532" s="54">
        <v>216</v>
      </c>
      <c r="T532" s="54">
        <f t="shared" si="37"/>
        <v>28.289473684210527</v>
      </c>
      <c r="U532" s="54">
        <f t="shared" si="38"/>
        <v>6219.6428571428569</v>
      </c>
      <c r="V532" s="54">
        <v>6966</v>
      </c>
      <c r="W532" s="52"/>
      <c r="X532" s="52">
        <v>2012</v>
      </c>
      <c r="Y532" s="52"/>
    </row>
    <row r="533" spans="2:25" s="55" customFormat="1" ht="114.75" outlineLevel="1">
      <c r="B533" s="52" t="s">
        <v>1272</v>
      </c>
      <c r="C533" s="78" t="s">
        <v>246</v>
      </c>
      <c r="D533" s="128" t="s">
        <v>265</v>
      </c>
      <c r="E533" s="56" t="s">
        <v>148</v>
      </c>
      <c r="F533" s="57" t="s">
        <v>148</v>
      </c>
      <c r="G533" s="57"/>
      <c r="H533" s="52" t="s">
        <v>243</v>
      </c>
      <c r="I533" s="52">
        <v>10</v>
      </c>
      <c r="J533" s="52">
        <v>270000000</v>
      </c>
      <c r="K533" s="56" t="s">
        <v>98</v>
      </c>
      <c r="L533" s="52" t="s">
        <v>1503</v>
      </c>
      <c r="M533" s="56" t="s">
        <v>98</v>
      </c>
      <c r="N533" s="52" t="s">
        <v>241</v>
      </c>
      <c r="O533" s="53" t="s">
        <v>1978</v>
      </c>
      <c r="P533" s="53" t="s">
        <v>1538</v>
      </c>
      <c r="Q533" s="52">
        <v>796</v>
      </c>
      <c r="R533" s="52" t="s">
        <v>1818</v>
      </c>
      <c r="S533" s="54">
        <v>9</v>
      </c>
      <c r="T533" s="54">
        <f t="shared" si="37"/>
        <v>631.79824561403507</v>
      </c>
      <c r="U533" s="54">
        <f t="shared" si="38"/>
        <v>5787.7232142857147</v>
      </c>
      <c r="V533" s="54">
        <v>6482.25</v>
      </c>
      <c r="W533" s="52"/>
      <c r="X533" s="52">
        <v>2012</v>
      </c>
      <c r="Y533" s="52"/>
    </row>
    <row r="534" spans="2:25" s="55" customFormat="1" ht="114.75" outlineLevel="1">
      <c r="B534" s="52" t="s">
        <v>1273</v>
      </c>
      <c r="C534" s="78" t="s">
        <v>246</v>
      </c>
      <c r="D534" s="128" t="s">
        <v>265</v>
      </c>
      <c r="E534" s="56" t="s">
        <v>149</v>
      </c>
      <c r="F534" s="57" t="s">
        <v>1453</v>
      </c>
      <c r="G534" s="57"/>
      <c r="H534" s="52" t="s">
        <v>243</v>
      </c>
      <c r="I534" s="52">
        <v>10</v>
      </c>
      <c r="J534" s="52">
        <v>270000000</v>
      </c>
      <c r="K534" s="56" t="s">
        <v>98</v>
      </c>
      <c r="L534" s="52" t="s">
        <v>1503</v>
      </c>
      <c r="M534" s="56" t="s">
        <v>98</v>
      </c>
      <c r="N534" s="52" t="s">
        <v>241</v>
      </c>
      <c r="O534" s="53" t="s">
        <v>1978</v>
      </c>
      <c r="P534" s="53" t="s">
        <v>1538</v>
      </c>
      <c r="Q534" s="52">
        <v>796</v>
      </c>
      <c r="R534" s="52" t="s">
        <v>1818</v>
      </c>
      <c r="S534" s="54">
        <v>108</v>
      </c>
      <c r="T534" s="54">
        <f t="shared" si="37"/>
        <v>28.289473684210527</v>
      </c>
      <c r="U534" s="54">
        <f t="shared" si="38"/>
        <v>3109.8214285714284</v>
      </c>
      <c r="V534" s="54">
        <v>3483</v>
      </c>
      <c r="W534" s="52"/>
      <c r="X534" s="52">
        <v>2012</v>
      </c>
      <c r="Y534" s="52"/>
    </row>
    <row r="535" spans="2:25" s="55" customFormat="1" ht="165.75" outlineLevel="1">
      <c r="B535" s="52" t="s">
        <v>1274</v>
      </c>
      <c r="C535" s="78" t="s">
        <v>246</v>
      </c>
      <c r="D535" s="77">
        <v>27015</v>
      </c>
      <c r="E535" s="56" t="s">
        <v>2325</v>
      </c>
      <c r="F535" s="56" t="s">
        <v>2324</v>
      </c>
      <c r="G535" s="56"/>
      <c r="H535" s="52" t="s">
        <v>243</v>
      </c>
      <c r="I535" s="52">
        <v>10</v>
      </c>
      <c r="J535" s="52">
        <v>350000000</v>
      </c>
      <c r="K535" s="56" t="s">
        <v>120</v>
      </c>
      <c r="L535" s="52" t="s">
        <v>1503</v>
      </c>
      <c r="M535" s="56" t="s">
        <v>120</v>
      </c>
      <c r="N535" s="52" t="s">
        <v>241</v>
      </c>
      <c r="O535" s="53" t="s">
        <v>1978</v>
      </c>
      <c r="P535" s="53" t="s">
        <v>1538</v>
      </c>
      <c r="Q535" s="52">
        <v>5111</v>
      </c>
      <c r="R535" s="52" t="s">
        <v>1434</v>
      </c>
      <c r="S535" s="54">
        <v>312</v>
      </c>
      <c r="T535" s="54">
        <f t="shared" si="37"/>
        <v>565.78947368421052</v>
      </c>
      <c r="U535" s="54">
        <f t="shared" si="38"/>
        <v>179678.57142857142</v>
      </c>
      <c r="V535" s="54">
        <v>201240</v>
      </c>
      <c r="W535" s="52"/>
      <c r="X535" s="52">
        <v>2012</v>
      </c>
      <c r="Y535" s="52"/>
    </row>
    <row r="536" spans="2:25" s="55" customFormat="1" ht="114.75" outlineLevel="1">
      <c r="B536" s="52" t="s">
        <v>1275</v>
      </c>
      <c r="C536" s="78" t="s">
        <v>246</v>
      </c>
      <c r="D536" s="56" t="s">
        <v>263</v>
      </c>
      <c r="E536" s="56" t="s">
        <v>130</v>
      </c>
      <c r="F536" s="56" t="s">
        <v>1438</v>
      </c>
      <c r="G536" s="56"/>
      <c r="H536" s="52" t="s">
        <v>243</v>
      </c>
      <c r="I536" s="52">
        <v>10</v>
      </c>
      <c r="J536" s="52">
        <v>350000000</v>
      </c>
      <c r="K536" s="56" t="s">
        <v>120</v>
      </c>
      <c r="L536" s="52" t="s">
        <v>1503</v>
      </c>
      <c r="M536" s="56" t="s">
        <v>120</v>
      </c>
      <c r="N536" s="52" t="s">
        <v>241</v>
      </c>
      <c r="O536" s="53" t="s">
        <v>1978</v>
      </c>
      <c r="P536" s="53" t="s">
        <v>1538</v>
      </c>
      <c r="Q536" s="52">
        <v>736</v>
      </c>
      <c r="R536" s="52" t="s">
        <v>1435</v>
      </c>
      <c r="S536" s="54">
        <v>26</v>
      </c>
      <c r="T536" s="54">
        <f t="shared" si="37"/>
        <v>216.88596491228068</v>
      </c>
      <c r="U536" s="54">
        <f t="shared" si="38"/>
        <v>5739.7321428571431</v>
      </c>
      <c r="V536" s="54">
        <v>6428.5</v>
      </c>
      <c r="W536" s="52"/>
      <c r="X536" s="52">
        <v>2012</v>
      </c>
      <c r="Y536" s="52"/>
    </row>
    <row r="537" spans="2:25" s="55" customFormat="1" ht="114.75" outlineLevel="1">
      <c r="B537" s="52" t="s">
        <v>1276</v>
      </c>
      <c r="C537" s="78" t="s">
        <v>246</v>
      </c>
      <c r="D537" s="128" t="s">
        <v>265</v>
      </c>
      <c r="E537" s="56" t="s">
        <v>131</v>
      </c>
      <c r="F537" s="53" t="s">
        <v>1456</v>
      </c>
      <c r="G537" s="53"/>
      <c r="H537" s="52" t="s">
        <v>243</v>
      </c>
      <c r="I537" s="52">
        <v>10</v>
      </c>
      <c r="J537" s="52">
        <v>350000000</v>
      </c>
      <c r="K537" s="56" t="s">
        <v>120</v>
      </c>
      <c r="L537" s="52" t="s">
        <v>1503</v>
      </c>
      <c r="M537" s="56" t="s">
        <v>120</v>
      </c>
      <c r="N537" s="52" t="s">
        <v>241</v>
      </c>
      <c r="O537" s="53" t="s">
        <v>1978</v>
      </c>
      <c r="P537" s="53" t="s">
        <v>1538</v>
      </c>
      <c r="Q537" s="52">
        <v>796</v>
      </c>
      <c r="R537" s="52" t="s">
        <v>1818</v>
      </c>
      <c r="S537" s="54">
        <v>52</v>
      </c>
      <c r="T537" s="54">
        <f t="shared" si="37"/>
        <v>103.7280701754386</v>
      </c>
      <c r="U537" s="54">
        <f t="shared" si="38"/>
        <v>5490.1785714285716</v>
      </c>
      <c r="V537" s="54">
        <v>6149</v>
      </c>
      <c r="W537" s="52"/>
      <c r="X537" s="52">
        <v>2012</v>
      </c>
      <c r="Y537" s="52"/>
    </row>
    <row r="538" spans="2:25" s="55" customFormat="1" ht="114.75" outlineLevel="1">
      <c r="B538" s="52" t="s">
        <v>1277</v>
      </c>
      <c r="C538" s="78" t="s">
        <v>246</v>
      </c>
      <c r="D538" s="128" t="s">
        <v>265</v>
      </c>
      <c r="E538" s="56" t="s">
        <v>132</v>
      </c>
      <c r="F538" s="56" t="s">
        <v>1439</v>
      </c>
      <c r="G538" s="56"/>
      <c r="H538" s="52" t="s">
        <v>243</v>
      </c>
      <c r="I538" s="52">
        <v>10</v>
      </c>
      <c r="J538" s="52">
        <v>350000000</v>
      </c>
      <c r="K538" s="56" t="s">
        <v>120</v>
      </c>
      <c r="L538" s="52" t="s">
        <v>1503</v>
      </c>
      <c r="M538" s="56" t="s">
        <v>120</v>
      </c>
      <c r="N538" s="52" t="s">
        <v>241</v>
      </c>
      <c r="O538" s="53" t="s">
        <v>1978</v>
      </c>
      <c r="P538" s="53" t="s">
        <v>1538</v>
      </c>
      <c r="Q538" s="52">
        <v>796</v>
      </c>
      <c r="R538" s="52" t="s">
        <v>1818</v>
      </c>
      <c r="S538" s="54">
        <v>52</v>
      </c>
      <c r="T538" s="54">
        <f t="shared" si="37"/>
        <v>141.44736842105263</v>
      </c>
      <c r="U538" s="54">
        <f t="shared" si="38"/>
        <v>7486.6071428571431</v>
      </c>
      <c r="V538" s="54">
        <v>8385</v>
      </c>
      <c r="W538" s="52"/>
      <c r="X538" s="52">
        <v>2012</v>
      </c>
      <c r="Y538" s="52"/>
    </row>
    <row r="539" spans="2:25" s="55" customFormat="1" ht="114.75" outlineLevel="1">
      <c r="B539" s="52" t="s">
        <v>1278</v>
      </c>
      <c r="C539" s="78" t="s">
        <v>246</v>
      </c>
      <c r="D539" s="128" t="s">
        <v>265</v>
      </c>
      <c r="E539" s="56" t="s">
        <v>133</v>
      </c>
      <c r="F539" s="56" t="s">
        <v>1440</v>
      </c>
      <c r="G539" s="56"/>
      <c r="H539" s="52" t="s">
        <v>243</v>
      </c>
      <c r="I539" s="52">
        <v>10</v>
      </c>
      <c r="J539" s="52">
        <v>350000000</v>
      </c>
      <c r="K539" s="56" t="s">
        <v>120</v>
      </c>
      <c r="L539" s="52" t="s">
        <v>1503</v>
      </c>
      <c r="M539" s="56" t="s">
        <v>120</v>
      </c>
      <c r="N539" s="52" t="s">
        <v>241</v>
      </c>
      <c r="O539" s="53" t="s">
        <v>1978</v>
      </c>
      <c r="P539" s="53" t="s">
        <v>1538</v>
      </c>
      <c r="Q539" s="52">
        <v>796</v>
      </c>
      <c r="R539" s="52" t="s">
        <v>1818</v>
      </c>
      <c r="S539" s="54">
        <v>52</v>
      </c>
      <c r="T539" s="54">
        <f t="shared" si="37"/>
        <v>89.583333333333343</v>
      </c>
      <c r="U539" s="54">
        <f t="shared" si="38"/>
        <v>4741.5178571428569</v>
      </c>
      <c r="V539" s="54">
        <v>5310.5</v>
      </c>
      <c r="W539" s="52"/>
      <c r="X539" s="52">
        <v>2012</v>
      </c>
      <c r="Y539" s="52"/>
    </row>
    <row r="540" spans="2:25" s="55" customFormat="1" ht="114.75" outlineLevel="1">
      <c r="B540" s="52" t="s">
        <v>1279</v>
      </c>
      <c r="C540" s="78" t="s">
        <v>246</v>
      </c>
      <c r="D540" s="128" t="s">
        <v>265</v>
      </c>
      <c r="E540" s="56" t="s">
        <v>134</v>
      </c>
      <c r="F540" s="53" t="s">
        <v>1455</v>
      </c>
      <c r="G540" s="53"/>
      <c r="H540" s="52" t="s">
        <v>243</v>
      </c>
      <c r="I540" s="52">
        <v>10</v>
      </c>
      <c r="J540" s="52">
        <v>350000000</v>
      </c>
      <c r="K540" s="56" t="s">
        <v>120</v>
      </c>
      <c r="L540" s="52" t="s">
        <v>1503</v>
      </c>
      <c r="M540" s="56" t="s">
        <v>120</v>
      </c>
      <c r="N540" s="52" t="s">
        <v>241</v>
      </c>
      <c r="O540" s="53" t="s">
        <v>1978</v>
      </c>
      <c r="P540" s="53" t="s">
        <v>1538</v>
      </c>
      <c r="Q540" s="52">
        <v>704</v>
      </c>
      <c r="R540" s="52" t="s">
        <v>1436</v>
      </c>
      <c r="S540" s="54">
        <v>13</v>
      </c>
      <c r="T540" s="54">
        <f t="shared" si="37"/>
        <v>1131.578947368421</v>
      </c>
      <c r="U540" s="54">
        <f t="shared" si="38"/>
        <v>14973.214285714286</v>
      </c>
      <c r="V540" s="54">
        <v>16770</v>
      </c>
      <c r="W540" s="52"/>
      <c r="X540" s="52">
        <v>2012</v>
      </c>
      <c r="Y540" s="52"/>
    </row>
    <row r="541" spans="2:25" s="55" customFormat="1" ht="114.75" outlineLevel="1">
      <c r="B541" s="52" t="s">
        <v>1280</v>
      </c>
      <c r="C541" s="78" t="s">
        <v>246</v>
      </c>
      <c r="D541" s="128" t="s">
        <v>265</v>
      </c>
      <c r="E541" s="56" t="s">
        <v>135</v>
      </c>
      <c r="F541" s="56" t="s">
        <v>1441</v>
      </c>
      <c r="G541" s="56"/>
      <c r="H541" s="52" t="s">
        <v>243</v>
      </c>
      <c r="I541" s="52">
        <v>10</v>
      </c>
      <c r="J541" s="52">
        <v>350000000</v>
      </c>
      <c r="K541" s="56" t="s">
        <v>120</v>
      </c>
      <c r="L541" s="52" t="s">
        <v>1503</v>
      </c>
      <c r="M541" s="56" t="s">
        <v>120</v>
      </c>
      <c r="N541" s="52" t="s">
        <v>241</v>
      </c>
      <c r="O541" s="53" t="s">
        <v>1978</v>
      </c>
      <c r="P541" s="53" t="s">
        <v>1538</v>
      </c>
      <c r="Q541" s="52">
        <v>796</v>
      </c>
      <c r="R541" s="52" t="s">
        <v>1818</v>
      </c>
      <c r="S541" s="54">
        <v>312</v>
      </c>
      <c r="T541" s="54">
        <f t="shared" si="37"/>
        <v>9.4298245614035103</v>
      </c>
      <c r="U541" s="54">
        <f t="shared" si="38"/>
        <v>2994.6428571428573</v>
      </c>
      <c r="V541" s="54">
        <v>3354</v>
      </c>
      <c r="W541" s="52"/>
      <c r="X541" s="52">
        <v>2012</v>
      </c>
      <c r="Y541" s="52"/>
    </row>
    <row r="542" spans="2:25" s="55" customFormat="1" ht="114.75" outlineLevel="1">
      <c r="B542" s="52" t="s">
        <v>1281</v>
      </c>
      <c r="C542" s="78" t="s">
        <v>246</v>
      </c>
      <c r="D542" s="128" t="s">
        <v>268</v>
      </c>
      <c r="E542" s="56" t="s">
        <v>136</v>
      </c>
      <c r="F542" s="56" t="s">
        <v>1442</v>
      </c>
      <c r="G542" s="56"/>
      <c r="H542" s="52" t="s">
        <v>243</v>
      </c>
      <c r="I542" s="52">
        <v>10</v>
      </c>
      <c r="J542" s="52">
        <v>350000000</v>
      </c>
      <c r="K542" s="56" t="s">
        <v>120</v>
      </c>
      <c r="L542" s="52" t="s">
        <v>1503</v>
      </c>
      <c r="M542" s="56" t="s">
        <v>120</v>
      </c>
      <c r="N542" s="52" t="s">
        <v>241</v>
      </c>
      <c r="O542" s="53" t="s">
        <v>1978</v>
      </c>
      <c r="P542" s="53" t="s">
        <v>1538</v>
      </c>
      <c r="Q542" s="52">
        <v>796</v>
      </c>
      <c r="R542" s="52" t="s">
        <v>1818</v>
      </c>
      <c r="S542" s="54">
        <v>78</v>
      </c>
      <c r="T542" s="54">
        <f t="shared" si="37"/>
        <v>424.34210526315798</v>
      </c>
      <c r="U542" s="54">
        <f t="shared" si="38"/>
        <v>33689.732142857145</v>
      </c>
      <c r="V542" s="54">
        <v>37732.5</v>
      </c>
      <c r="W542" s="52"/>
      <c r="X542" s="52">
        <v>2012</v>
      </c>
      <c r="Y542" s="52"/>
    </row>
    <row r="543" spans="2:25" s="55" customFormat="1" ht="114.75" outlineLevel="1">
      <c r="B543" s="52" t="s">
        <v>1282</v>
      </c>
      <c r="C543" s="78" t="s">
        <v>246</v>
      </c>
      <c r="D543" s="128" t="s">
        <v>265</v>
      </c>
      <c r="E543" s="56" t="s">
        <v>137</v>
      </c>
      <c r="F543" s="56" t="s">
        <v>1443</v>
      </c>
      <c r="G543" s="56"/>
      <c r="H543" s="52" t="s">
        <v>243</v>
      </c>
      <c r="I543" s="52">
        <v>10</v>
      </c>
      <c r="J543" s="52">
        <v>350000000</v>
      </c>
      <c r="K543" s="56" t="s">
        <v>120</v>
      </c>
      <c r="L543" s="52" t="s">
        <v>1503</v>
      </c>
      <c r="M543" s="56" t="s">
        <v>120</v>
      </c>
      <c r="N543" s="52" t="s">
        <v>241</v>
      </c>
      <c r="O543" s="53" t="s">
        <v>1978</v>
      </c>
      <c r="P543" s="53" t="s">
        <v>1538</v>
      </c>
      <c r="Q543" s="52">
        <v>796</v>
      </c>
      <c r="R543" s="52" t="s">
        <v>1818</v>
      </c>
      <c r="S543" s="54">
        <v>78</v>
      </c>
      <c r="T543" s="54">
        <f t="shared" si="37"/>
        <v>179.16666666666666</v>
      </c>
      <c r="U543" s="54">
        <f t="shared" si="38"/>
        <v>14224.553571428572</v>
      </c>
      <c r="V543" s="54">
        <v>15931.5</v>
      </c>
      <c r="W543" s="52"/>
      <c r="X543" s="52">
        <v>2012</v>
      </c>
      <c r="Y543" s="52"/>
    </row>
    <row r="544" spans="2:25" s="55" customFormat="1" ht="114.75" outlineLevel="1">
      <c r="B544" s="52" t="s">
        <v>1283</v>
      </c>
      <c r="C544" s="78" t="s">
        <v>246</v>
      </c>
      <c r="D544" s="128" t="s">
        <v>265</v>
      </c>
      <c r="E544" s="56" t="s">
        <v>138</v>
      </c>
      <c r="F544" s="56" t="s">
        <v>1444</v>
      </c>
      <c r="G544" s="56"/>
      <c r="H544" s="52" t="s">
        <v>243</v>
      </c>
      <c r="I544" s="52">
        <v>10</v>
      </c>
      <c r="J544" s="52">
        <v>350000000</v>
      </c>
      <c r="K544" s="56" t="s">
        <v>120</v>
      </c>
      <c r="L544" s="52" t="s">
        <v>1503</v>
      </c>
      <c r="M544" s="56" t="s">
        <v>120</v>
      </c>
      <c r="N544" s="52" t="s">
        <v>241</v>
      </c>
      <c r="O544" s="53" t="s">
        <v>1978</v>
      </c>
      <c r="P544" s="53" t="s">
        <v>1538</v>
      </c>
      <c r="Q544" s="52">
        <v>796</v>
      </c>
      <c r="R544" s="52" t="s">
        <v>1818</v>
      </c>
      <c r="S544" s="54">
        <v>13</v>
      </c>
      <c r="T544" s="54">
        <f t="shared" si="37"/>
        <v>141.44736842105263</v>
      </c>
      <c r="U544" s="54">
        <f t="shared" si="38"/>
        <v>1871.6517857142858</v>
      </c>
      <c r="V544" s="54">
        <v>2096.25</v>
      </c>
      <c r="W544" s="52"/>
      <c r="X544" s="52">
        <v>2012</v>
      </c>
      <c r="Y544" s="52"/>
    </row>
    <row r="545" spans="2:25" s="55" customFormat="1" ht="114.75" outlineLevel="1">
      <c r="B545" s="52" t="s">
        <v>1284</v>
      </c>
      <c r="C545" s="78" t="s">
        <v>246</v>
      </c>
      <c r="D545" s="128" t="s">
        <v>265</v>
      </c>
      <c r="E545" s="56" t="s">
        <v>139</v>
      </c>
      <c r="F545" s="56" t="s">
        <v>1445</v>
      </c>
      <c r="G545" s="56"/>
      <c r="H545" s="52" t="s">
        <v>243</v>
      </c>
      <c r="I545" s="52">
        <v>10</v>
      </c>
      <c r="J545" s="52">
        <v>350000000</v>
      </c>
      <c r="K545" s="56" t="s">
        <v>120</v>
      </c>
      <c r="L545" s="52" t="s">
        <v>1503</v>
      </c>
      <c r="M545" s="56" t="s">
        <v>120</v>
      </c>
      <c r="N545" s="52" t="s">
        <v>241</v>
      </c>
      <c r="O545" s="53" t="s">
        <v>1978</v>
      </c>
      <c r="P545" s="53" t="s">
        <v>1538</v>
      </c>
      <c r="Q545" s="52">
        <v>796</v>
      </c>
      <c r="R545" s="52" t="s">
        <v>1818</v>
      </c>
      <c r="S545" s="54">
        <v>78</v>
      </c>
      <c r="T545" s="54">
        <f t="shared" si="37"/>
        <v>99.01315789473685</v>
      </c>
      <c r="U545" s="54">
        <f t="shared" si="38"/>
        <v>7860.9375</v>
      </c>
      <c r="V545" s="54">
        <v>8804.25</v>
      </c>
      <c r="W545" s="52"/>
      <c r="X545" s="52">
        <v>2012</v>
      </c>
      <c r="Y545" s="52"/>
    </row>
    <row r="546" spans="2:25" s="55" customFormat="1" ht="114.75" outlineLevel="1">
      <c r="B546" s="52" t="s">
        <v>1285</v>
      </c>
      <c r="C546" s="78" t="s">
        <v>246</v>
      </c>
      <c r="D546" s="128" t="s">
        <v>265</v>
      </c>
      <c r="E546" s="56" t="s">
        <v>140</v>
      </c>
      <c r="F546" s="57" t="s">
        <v>1446</v>
      </c>
      <c r="G546" s="57"/>
      <c r="H546" s="52" t="s">
        <v>243</v>
      </c>
      <c r="I546" s="52">
        <v>10</v>
      </c>
      <c r="J546" s="52">
        <v>350000000</v>
      </c>
      <c r="K546" s="56" t="s">
        <v>120</v>
      </c>
      <c r="L546" s="52" t="s">
        <v>1503</v>
      </c>
      <c r="M546" s="56" t="s">
        <v>120</v>
      </c>
      <c r="N546" s="52" t="s">
        <v>241</v>
      </c>
      <c r="O546" s="53" t="s">
        <v>1978</v>
      </c>
      <c r="P546" s="53" t="s">
        <v>1538</v>
      </c>
      <c r="Q546" s="52">
        <v>796</v>
      </c>
      <c r="R546" s="52" t="s">
        <v>1818</v>
      </c>
      <c r="S546" s="54">
        <v>78</v>
      </c>
      <c r="T546" s="54">
        <f t="shared" si="37"/>
        <v>84.868421052631575</v>
      </c>
      <c r="U546" s="54">
        <f t="shared" si="38"/>
        <v>6737.9464285714294</v>
      </c>
      <c r="V546" s="54">
        <v>7546.5</v>
      </c>
      <c r="W546" s="52"/>
      <c r="X546" s="52">
        <v>2012</v>
      </c>
      <c r="Y546" s="52"/>
    </row>
    <row r="547" spans="2:25" s="55" customFormat="1" ht="114.75" outlineLevel="1">
      <c r="B547" s="52" t="s">
        <v>1286</v>
      </c>
      <c r="C547" s="78" t="s">
        <v>246</v>
      </c>
      <c r="D547" s="56" t="s">
        <v>265</v>
      </c>
      <c r="E547" s="56" t="s">
        <v>141</v>
      </c>
      <c r="F547" s="57" t="s">
        <v>1447</v>
      </c>
      <c r="G547" s="57"/>
      <c r="H547" s="52" t="s">
        <v>243</v>
      </c>
      <c r="I547" s="52">
        <v>10</v>
      </c>
      <c r="J547" s="52">
        <v>350000000</v>
      </c>
      <c r="K547" s="56" t="s">
        <v>120</v>
      </c>
      <c r="L547" s="52" t="s">
        <v>1503</v>
      </c>
      <c r="M547" s="56" t="s">
        <v>120</v>
      </c>
      <c r="N547" s="52" t="s">
        <v>241</v>
      </c>
      <c r="O547" s="53" t="s">
        <v>1978</v>
      </c>
      <c r="P547" s="53" t="s">
        <v>1538</v>
      </c>
      <c r="Q547" s="52">
        <v>796</v>
      </c>
      <c r="R547" s="52" t="s">
        <v>1818</v>
      </c>
      <c r="S547" s="54">
        <v>26</v>
      </c>
      <c r="T547" s="54">
        <f t="shared" si="37"/>
        <v>471.49122807017545</v>
      </c>
      <c r="U547" s="54">
        <f t="shared" si="38"/>
        <v>12477.678571428571</v>
      </c>
      <c r="V547" s="54">
        <v>13975</v>
      </c>
      <c r="W547" s="52"/>
      <c r="X547" s="52">
        <v>2012</v>
      </c>
      <c r="Y547" s="52"/>
    </row>
    <row r="548" spans="2:25" s="55" customFormat="1" ht="114.75" outlineLevel="1">
      <c r="B548" s="52" t="s">
        <v>1287</v>
      </c>
      <c r="C548" s="78" t="s">
        <v>246</v>
      </c>
      <c r="D548" s="56" t="s">
        <v>265</v>
      </c>
      <c r="E548" s="56" t="s">
        <v>142</v>
      </c>
      <c r="F548" s="53" t="s">
        <v>1448</v>
      </c>
      <c r="G548" s="53"/>
      <c r="H548" s="52" t="s">
        <v>243</v>
      </c>
      <c r="I548" s="52">
        <v>10</v>
      </c>
      <c r="J548" s="52">
        <v>350000000</v>
      </c>
      <c r="K548" s="56" t="s">
        <v>120</v>
      </c>
      <c r="L548" s="52" t="s">
        <v>1503</v>
      </c>
      <c r="M548" s="56" t="s">
        <v>120</v>
      </c>
      <c r="N548" s="52" t="s">
        <v>241</v>
      </c>
      <c r="O548" s="53" t="s">
        <v>1978</v>
      </c>
      <c r="P548" s="53" t="s">
        <v>1538</v>
      </c>
      <c r="Q548" s="52">
        <v>796</v>
      </c>
      <c r="R548" s="52" t="s">
        <v>1818</v>
      </c>
      <c r="S548" s="54">
        <v>52</v>
      </c>
      <c r="T548" s="54">
        <f t="shared" si="37"/>
        <v>113.15789473684211</v>
      </c>
      <c r="U548" s="54">
        <f t="shared" si="38"/>
        <v>5989.2857142857147</v>
      </c>
      <c r="V548" s="54">
        <v>6708</v>
      </c>
      <c r="W548" s="52"/>
      <c r="X548" s="52">
        <v>2012</v>
      </c>
      <c r="Y548" s="52"/>
    </row>
    <row r="549" spans="2:25" s="55" customFormat="1" ht="114.75" outlineLevel="1">
      <c r="B549" s="52" t="s">
        <v>1655</v>
      </c>
      <c r="C549" s="78" t="s">
        <v>246</v>
      </c>
      <c r="D549" s="128" t="s">
        <v>265</v>
      </c>
      <c r="E549" s="56" t="s">
        <v>143</v>
      </c>
      <c r="F549" s="56" t="s">
        <v>1449</v>
      </c>
      <c r="G549" s="56"/>
      <c r="H549" s="52" t="s">
        <v>243</v>
      </c>
      <c r="I549" s="52">
        <v>10</v>
      </c>
      <c r="J549" s="52">
        <v>350000000</v>
      </c>
      <c r="K549" s="56" t="s">
        <v>120</v>
      </c>
      <c r="L549" s="52" t="s">
        <v>1503</v>
      </c>
      <c r="M549" s="56" t="s">
        <v>120</v>
      </c>
      <c r="N549" s="52" t="s">
        <v>241</v>
      </c>
      <c r="O549" s="53" t="s">
        <v>1978</v>
      </c>
      <c r="P549" s="53" t="s">
        <v>1538</v>
      </c>
      <c r="Q549" s="52">
        <v>796</v>
      </c>
      <c r="R549" s="52" t="s">
        <v>1818</v>
      </c>
      <c r="S549" s="54">
        <v>52</v>
      </c>
      <c r="T549" s="54">
        <f t="shared" si="37"/>
        <v>84.868421052631575</v>
      </c>
      <c r="U549" s="54">
        <f t="shared" si="38"/>
        <v>4491.9642857142853</v>
      </c>
      <c r="V549" s="54">
        <v>5031</v>
      </c>
      <c r="W549" s="52"/>
      <c r="X549" s="52">
        <v>2012</v>
      </c>
      <c r="Y549" s="52"/>
    </row>
    <row r="550" spans="2:25" s="55" customFormat="1" ht="114.75" outlineLevel="1">
      <c r="B550" s="52" t="s">
        <v>1288</v>
      </c>
      <c r="C550" s="78" t="s">
        <v>246</v>
      </c>
      <c r="D550" s="128" t="s">
        <v>265</v>
      </c>
      <c r="E550" s="56" t="s">
        <v>144</v>
      </c>
      <c r="F550" s="56" t="s">
        <v>1450</v>
      </c>
      <c r="G550" s="56"/>
      <c r="H550" s="52" t="s">
        <v>243</v>
      </c>
      <c r="I550" s="52">
        <v>10</v>
      </c>
      <c r="J550" s="52">
        <v>350000000</v>
      </c>
      <c r="K550" s="56" t="s">
        <v>120</v>
      </c>
      <c r="L550" s="52" t="s">
        <v>1503</v>
      </c>
      <c r="M550" s="56" t="s">
        <v>120</v>
      </c>
      <c r="N550" s="52" t="s">
        <v>241</v>
      </c>
      <c r="O550" s="53" t="s">
        <v>1978</v>
      </c>
      <c r="P550" s="53" t="s">
        <v>1538</v>
      </c>
      <c r="Q550" s="52">
        <v>796</v>
      </c>
      <c r="R550" s="52" t="s">
        <v>1818</v>
      </c>
      <c r="S550" s="54">
        <v>52</v>
      </c>
      <c r="T550" s="54">
        <f t="shared" si="37"/>
        <v>47.149122807017541</v>
      </c>
      <c r="U550" s="54">
        <f t="shared" si="38"/>
        <v>2495.5357142857142</v>
      </c>
      <c r="V550" s="54">
        <v>2795</v>
      </c>
      <c r="W550" s="52"/>
      <c r="X550" s="52">
        <v>2012</v>
      </c>
      <c r="Y550" s="52"/>
    </row>
    <row r="551" spans="2:25" s="55" customFormat="1" ht="114.75" outlineLevel="1">
      <c r="B551" s="52" t="s">
        <v>1289</v>
      </c>
      <c r="C551" s="78" t="s">
        <v>246</v>
      </c>
      <c r="D551" s="128" t="s">
        <v>265</v>
      </c>
      <c r="E551" s="56" t="s">
        <v>145</v>
      </c>
      <c r="F551" s="56" t="s">
        <v>1451</v>
      </c>
      <c r="G551" s="56"/>
      <c r="H551" s="52" t="s">
        <v>243</v>
      </c>
      <c r="I551" s="52">
        <v>10</v>
      </c>
      <c r="J551" s="52">
        <v>350000000</v>
      </c>
      <c r="K551" s="56" t="s">
        <v>120</v>
      </c>
      <c r="L551" s="52" t="s">
        <v>1503</v>
      </c>
      <c r="M551" s="56" t="s">
        <v>120</v>
      </c>
      <c r="N551" s="52" t="s">
        <v>241</v>
      </c>
      <c r="O551" s="53" t="s">
        <v>1978</v>
      </c>
      <c r="P551" s="53" t="s">
        <v>1538</v>
      </c>
      <c r="Q551" s="52">
        <v>796</v>
      </c>
      <c r="R551" s="52" t="s">
        <v>1818</v>
      </c>
      <c r="S551" s="54">
        <v>26</v>
      </c>
      <c r="T551" s="54">
        <f t="shared" si="37"/>
        <v>264.03508771929825</v>
      </c>
      <c r="U551" s="54">
        <f t="shared" si="38"/>
        <v>6987.5</v>
      </c>
      <c r="V551" s="54">
        <v>7826</v>
      </c>
      <c r="W551" s="52"/>
      <c r="X551" s="52">
        <v>2012</v>
      </c>
      <c r="Y551" s="52"/>
    </row>
    <row r="552" spans="2:25" s="89" customFormat="1" ht="84" outlineLevel="1">
      <c r="B552" s="52" t="s">
        <v>1290</v>
      </c>
      <c r="C552" s="132" t="s">
        <v>246</v>
      </c>
      <c r="D552" s="128" t="s">
        <v>265</v>
      </c>
      <c r="E552" s="133" t="s">
        <v>146</v>
      </c>
      <c r="F552" s="134" t="s">
        <v>1452</v>
      </c>
      <c r="G552" s="134"/>
      <c r="H552" s="135" t="s">
        <v>243</v>
      </c>
      <c r="I552" s="135">
        <v>10</v>
      </c>
      <c r="J552" s="135">
        <v>350000000</v>
      </c>
      <c r="K552" s="133" t="s">
        <v>120</v>
      </c>
      <c r="L552" s="135" t="s">
        <v>1503</v>
      </c>
      <c r="M552" s="133" t="s">
        <v>120</v>
      </c>
      <c r="N552" s="135" t="s">
        <v>241</v>
      </c>
      <c r="O552" s="136" t="s">
        <v>1978</v>
      </c>
      <c r="P552" s="136" t="s">
        <v>1538</v>
      </c>
      <c r="Q552" s="135">
        <v>796</v>
      </c>
      <c r="R552" s="135" t="s">
        <v>1818</v>
      </c>
      <c r="S552" s="137">
        <v>2.6</v>
      </c>
      <c r="T552" s="137">
        <f t="shared" si="37"/>
        <v>2357.4561403508769</v>
      </c>
      <c r="U552" s="137">
        <f t="shared" si="38"/>
        <v>6238.8392857142853</v>
      </c>
      <c r="V552" s="137">
        <v>6987.5</v>
      </c>
      <c r="W552" s="135"/>
      <c r="X552" s="52">
        <v>2012</v>
      </c>
      <c r="Y552" s="135"/>
    </row>
    <row r="553" spans="2:25" s="55" customFormat="1" ht="114.75" outlineLevel="1">
      <c r="B553" s="52" t="s">
        <v>1291</v>
      </c>
      <c r="C553" s="78" t="s">
        <v>246</v>
      </c>
      <c r="D553" s="128" t="s">
        <v>265</v>
      </c>
      <c r="E553" s="56" t="s">
        <v>147</v>
      </c>
      <c r="F553" s="53" t="s">
        <v>1454</v>
      </c>
      <c r="G553" s="53"/>
      <c r="H553" s="52" t="s">
        <v>243</v>
      </c>
      <c r="I553" s="52">
        <v>10</v>
      </c>
      <c r="J553" s="52">
        <v>350000000</v>
      </c>
      <c r="K553" s="56" t="s">
        <v>120</v>
      </c>
      <c r="L553" s="52" t="s">
        <v>1503</v>
      </c>
      <c r="M553" s="56" t="s">
        <v>120</v>
      </c>
      <c r="N553" s="52" t="s">
        <v>241</v>
      </c>
      <c r="O553" s="53" t="s">
        <v>1978</v>
      </c>
      <c r="P553" s="53" t="s">
        <v>1538</v>
      </c>
      <c r="Q553" s="52">
        <v>796</v>
      </c>
      <c r="R553" s="52" t="s">
        <v>1818</v>
      </c>
      <c r="S553" s="54">
        <v>312</v>
      </c>
      <c r="T553" s="54">
        <f t="shared" ref="T553:T600" si="39">V553/114*100/S553</f>
        <v>28.289473684210524</v>
      </c>
      <c r="U553" s="54">
        <f t="shared" si="38"/>
        <v>8983.9285714285706</v>
      </c>
      <c r="V553" s="54">
        <v>10062</v>
      </c>
      <c r="W553" s="52"/>
      <c r="X553" s="52">
        <v>2012</v>
      </c>
      <c r="Y553" s="52"/>
    </row>
    <row r="554" spans="2:25" s="55" customFormat="1" ht="114.75" outlineLevel="1">
      <c r="B554" s="52" t="s">
        <v>1292</v>
      </c>
      <c r="C554" s="78" t="s">
        <v>246</v>
      </c>
      <c r="D554" s="128" t="s">
        <v>265</v>
      </c>
      <c r="E554" s="56" t="s">
        <v>148</v>
      </c>
      <c r="F554" s="57" t="s">
        <v>148</v>
      </c>
      <c r="G554" s="57"/>
      <c r="H554" s="52" t="s">
        <v>243</v>
      </c>
      <c r="I554" s="52">
        <v>10</v>
      </c>
      <c r="J554" s="52">
        <v>350000000</v>
      </c>
      <c r="K554" s="56" t="s">
        <v>120</v>
      </c>
      <c r="L554" s="52" t="s">
        <v>1503</v>
      </c>
      <c r="M554" s="56" t="s">
        <v>120</v>
      </c>
      <c r="N554" s="52" t="s">
        <v>241</v>
      </c>
      <c r="O554" s="53" t="s">
        <v>1978</v>
      </c>
      <c r="P554" s="53" t="s">
        <v>1538</v>
      </c>
      <c r="Q554" s="52">
        <v>796</v>
      </c>
      <c r="R554" s="52" t="s">
        <v>1818</v>
      </c>
      <c r="S554" s="54">
        <v>13</v>
      </c>
      <c r="T554" s="54">
        <f t="shared" si="39"/>
        <v>631.79824561403507</v>
      </c>
      <c r="U554" s="54">
        <f t="shared" si="38"/>
        <v>8360.0446428571431</v>
      </c>
      <c r="V554" s="54">
        <v>9363.25</v>
      </c>
      <c r="W554" s="52"/>
      <c r="X554" s="52">
        <v>2012</v>
      </c>
      <c r="Y554" s="52"/>
    </row>
    <row r="555" spans="2:25" s="55" customFormat="1" ht="114.75" outlineLevel="1">
      <c r="B555" s="52" t="s">
        <v>1293</v>
      </c>
      <c r="C555" s="78" t="s">
        <v>246</v>
      </c>
      <c r="D555" s="128" t="s">
        <v>265</v>
      </c>
      <c r="E555" s="56" t="s">
        <v>149</v>
      </c>
      <c r="F555" s="57" t="s">
        <v>1453</v>
      </c>
      <c r="G555" s="57"/>
      <c r="H555" s="52" t="s">
        <v>243</v>
      </c>
      <c r="I555" s="52">
        <v>10</v>
      </c>
      <c r="J555" s="52">
        <v>350000000</v>
      </c>
      <c r="K555" s="56" t="s">
        <v>120</v>
      </c>
      <c r="L555" s="52" t="s">
        <v>1503</v>
      </c>
      <c r="M555" s="56" t="s">
        <v>120</v>
      </c>
      <c r="N555" s="52" t="s">
        <v>241</v>
      </c>
      <c r="O555" s="53" t="s">
        <v>1978</v>
      </c>
      <c r="P555" s="53" t="s">
        <v>1538</v>
      </c>
      <c r="Q555" s="52">
        <v>796</v>
      </c>
      <c r="R555" s="52" t="s">
        <v>1818</v>
      </c>
      <c r="S555" s="54">
        <v>156</v>
      </c>
      <c r="T555" s="54">
        <f t="shared" si="39"/>
        <v>28.289473684210524</v>
      </c>
      <c r="U555" s="54">
        <f t="shared" si="38"/>
        <v>4491.9642857142853</v>
      </c>
      <c r="V555" s="54">
        <v>5031</v>
      </c>
      <c r="W555" s="52"/>
      <c r="X555" s="52">
        <v>2012</v>
      </c>
      <c r="Y555" s="52"/>
    </row>
    <row r="556" spans="2:25" s="55" customFormat="1" ht="165.75" outlineLevel="1">
      <c r="B556" s="52" t="s">
        <v>1294</v>
      </c>
      <c r="C556" s="78" t="s">
        <v>246</v>
      </c>
      <c r="D556" s="77">
        <v>27015</v>
      </c>
      <c r="E556" s="56" t="s">
        <v>2325</v>
      </c>
      <c r="F556" s="56" t="s">
        <v>2324</v>
      </c>
      <c r="G556" s="56"/>
      <c r="H556" s="52" t="s">
        <v>243</v>
      </c>
      <c r="I556" s="52">
        <v>10</v>
      </c>
      <c r="J556" s="52">
        <v>430000000</v>
      </c>
      <c r="K556" s="56" t="s">
        <v>122</v>
      </c>
      <c r="L556" s="52" t="s">
        <v>1503</v>
      </c>
      <c r="M556" s="56" t="s">
        <v>122</v>
      </c>
      <c r="N556" s="52" t="s">
        <v>241</v>
      </c>
      <c r="O556" s="53" t="s">
        <v>1978</v>
      </c>
      <c r="P556" s="53" t="s">
        <v>1538</v>
      </c>
      <c r="Q556" s="52">
        <v>5111</v>
      </c>
      <c r="R556" s="52" t="s">
        <v>1434</v>
      </c>
      <c r="S556" s="54">
        <v>240</v>
      </c>
      <c r="T556" s="54">
        <f t="shared" si="39"/>
        <v>565.78947368421052</v>
      </c>
      <c r="U556" s="54">
        <f t="shared" si="38"/>
        <v>138214.28571428571</v>
      </c>
      <c r="V556" s="54">
        <v>154800</v>
      </c>
      <c r="W556" s="52"/>
      <c r="X556" s="52">
        <v>2012</v>
      </c>
      <c r="Y556" s="52"/>
    </row>
    <row r="557" spans="2:25" s="55" customFormat="1" ht="114.75" outlineLevel="1">
      <c r="B557" s="52" t="s">
        <v>1295</v>
      </c>
      <c r="C557" s="78" t="s">
        <v>246</v>
      </c>
      <c r="D557" s="56" t="s">
        <v>263</v>
      </c>
      <c r="E557" s="56" t="s">
        <v>130</v>
      </c>
      <c r="F557" s="56" t="s">
        <v>1438</v>
      </c>
      <c r="G557" s="56"/>
      <c r="H557" s="52" t="s">
        <v>243</v>
      </c>
      <c r="I557" s="52">
        <v>10</v>
      </c>
      <c r="J557" s="52">
        <v>430000000</v>
      </c>
      <c r="K557" s="56" t="s">
        <v>122</v>
      </c>
      <c r="L557" s="52" t="s">
        <v>1503</v>
      </c>
      <c r="M557" s="56" t="s">
        <v>122</v>
      </c>
      <c r="N557" s="52" t="s">
        <v>241</v>
      </c>
      <c r="O557" s="53" t="s">
        <v>1978</v>
      </c>
      <c r="P557" s="53" t="s">
        <v>1538</v>
      </c>
      <c r="Q557" s="52">
        <v>736</v>
      </c>
      <c r="R557" s="52" t="s">
        <v>1435</v>
      </c>
      <c r="S557" s="54">
        <v>20</v>
      </c>
      <c r="T557" s="54">
        <f t="shared" si="39"/>
        <v>216.88596491228068</v>
      </c>
      <c r="U557" s="54">
        <f t="shared" si="38"/>
        <v>4415.1785714285716</v>
      </c>
      <c r="V557" s="54">
        <v>4945</v>
      </c>
      <c r="W557" s="52"/>
      <c r="X557" s="52">
        <v>2012</v>
      </c>
      <c r="Y557" s="52"/>
    </row>
    <row r="558" spans="2:25" s="55" customFormat="1" ht="114.75" outlineLevel="1">
      <c r="B558" s="52" t="s">
        <v>1296</v>
      </c>
      <c r="C558" s="78" t="s">
        <v>246</v>
      </c>
      <c r="D558" s="128" t="s">
        <v>265</v>
      </c>
      <c r="E558" s="56" t="s">
        <v>131</v>
      </c>
      <c r="F558" s="53" t="s">
        <v>1456</v>
      </c>
      <c r="G558" s="53"/>
      <c r="H558" s="52" t="s">
        <v>243</v>
      </c>
      <c r="I558" s="52">
        <v>10</v>
      </c>
      <c r="J558" s="52">
        <v>430000000</v>
      </c>
      <c r="K558" s="56" t="s">
        <v>122</v>
      </c>
      <c r="L558" s="52" t="s">
        <v>1503</v>
      </c>
      <c r="M558" s="56" t="s">
        <v>122</v>
      </c>
      <c r="N558" s="52" t="s">
        <v>241</v>
      </c>
      <c r="O558" s="53" t="s">
        <v>1978</v>
      </c>
      <c r="P558" s="53" t="s">
        <v>1538</v>
      </c>
      <c r="Q558" s="52">
        <v>796</v>
      </c>
      <c r="R558" s="52" t="s">
        <v>1818</v>
      </c>
      <c r="S558" s="54">
        <v>40</v>
      </c>
      <c r="T558" s="54">
        <f t="shared" si="39"/>
        <v>103.7280701754386</v>
      </c>
      <c r="U558" s="54">
        <f t="shared" si="38"/>
        <v>4223.2142857142853</v>
      </c>
      <c r="V558" s="54">
        <v>4730</v>
      </c>
      <c r="W558" s="52"/>
      <c r="X558" s="52">
        <v>2012</v>
      </c>
      <c r="Y558" s="52"/>
    </row>
    <row r="559" spans="2:25" s="55" customFormat="1" ht="114.75" outlineLevel="1">
      <c r="B559" s="52" t="s">
        <v>1297</v>
      </c>
      <c r="C559" s="78" t="s">
        <v>246</v>
      </c>
      <c r="D559" s="128" t="s">
        <v>265</v>
      </c>
      <c r="E559" s="56" t="s">
        <v>132</v>
      </c>
      <c r="F559" s="56" t="s">
        <v>1439</v>
      </c>
      <c r="G559" s="56"/>
      <c r="H559" s="52" t="s">
        <v>243</v>
      </c>
      <c r="I559" s="52">
        <v>10</v>
      </c>
      <c r="J559" s="52">
        <v>430000000</v>
      </c>
      <c r="K559" s="56" t="s">
        <v>122</v>
      </c>
      <c r="L559" s="52" t="s">
        <v>1503</v>
      </c>
      <c r="M559" s="56" t="s">
        <v>122</v>
      </c>
      <c r="N559" s="52" t="s">
        <v>241</v>
      </c>
      <c r="O559" s="53" t="s">
        <v>1978</v>
      </c>
      <c r="P559" s="53" t="s">
        <v>1538</v>
      </c>
      <c r="Q559" s="52">
        <v>796</v>
      </c>
      <c r="R559" s="52" t="s">
        <v>1818</v>
      </c>
      <c r="S559" s="54">
        <v>40</v>
      </c>
      <c r="T559" s="54">
        <f t="shared" si="39"/>
        <v>141.44736842105266</v>
      </c>
      <c r="U559" s="54">
        <f t="shared" si="38"/>
        <v>5758.9285714285716</v>
      </c>
      <c r="V559" s="54">
        <v>6450</v>
      </c>
      <c r="W559" s="52"/>
      <c r="X559" s="52">
        <v>2012</v>
      </c>
      <c r="Y559" s="52"/>
    </row>
    <row r="560" spans="2:25" s="55" customFormat="1" ht="114.75" outlineLevel="1">
      <c r="B560" s="52" t="s">
        <v>1298</v>
      </c>
      <c r="C560" s="78" t="s">
        <v>246</v>
      </c>
      <c r="D560" s="128" t="s">
        <v>265</v>
      </c>
      <c r="E560" s="56" t="s">
        <v>133</v>
      </c>
      <c r="F560" s="56" t="s">
        <v>1440</v>
      </c>
      <c r="G560" s="56"/>
      <c r="H560" s="52" t="s">
        <v>243</v>
      </c>
      <c r="I560" s="52">
        <v>10</v>
      </c>
      <c r="J560" s="52">
        <v>430000000</v>
      </c>
      <c r="K560" s="56" t="s">
        <v>122</v>
      </c>
      <c r="L560" s="52" t="s">
        <v>1503</v>
      </c>
      <c r="M560" s="56" t="s">
        <v>122</v>
      </c>
      <c r="N560" s="52" t="s">
        <v>241</v>
      </c>
      <c r="O560" s="53" t="s">
        <v>1978</v>
      </c>
      <c r="P560" s="53" t="s">
        <v>1538</v>
      </c>
      <c r="Q560" s="52">
        <v>796</v>
      </c>
      <c r="R560" s="52" t="s">
        <v>1818</v>
      </c>
      <c r="S560" s="54">
        <v>40</v>
      </c>
      <c r="T560" s="54">
        <f t="shared" si="39"/>
        <v>89.583333333333343</v>
      </c>
      <c r="U560" s="54">
        <f t="shared" si="38"/>
        <v>3647.3214285714284</v>
      </c>
      <c r="V560" s="54">
        <v>4085</v>
      </c>
      <c r="W560" s="52"/>
      <c r="X560" s="52">
        <v>2012</v>
      </c>
      <c r="Y560" s="52"/>
    </row>
    <row r="561" spans="2:25" s="55" customFormat="1" ht="114.75" outlineLevel="1">
      <c r="B561" s="52" t="s">
        <v>1299</v>
      </c>
      <c r="C561" s="78" t="s">
        <v>246</v>
      </c>
      <c r="D561" s="128" t="s">
        <v>265</v>
      </c>
      <c r="E561" s="56" t="s">
        <v>134</v>
      </c>
      <c r="F561" s="53" t="s">
        <v>1455</v>
      </c>
      <c r="G561" s="53"/>
      <c r="H561" s="52" t="s">
        <v>243</v>
      </c>
      <c r="I561" s="52">
        <v>10</v>
      </c>
      <c r="J561" s="52">
        <v>430000000</v>
      </c>
      <c r="K561" s="56" t="s">
        <v>122</v>
      </c>
      <c r="L561" s="52" t="s">
        <v>1503</v>
      </c>
      <c r="M561" s="56" t="s">
        <v>122</v>
      </c>
      <c r="N561" s="52" t="s">
        <v>241</v>
      </c>
      <c r="O561" s="53" t="s">
        <v>1978</v>
      </c>
      <c r="P561" s="53" t="s">
        <v>1538</v>
      </c>
      <c r="Q561" s="52">
        <v>704</v>
      </c>
      <c r="R561" s="52" t="s">
        <v>1436</v>
      </c>
      <c r="S561" s="54">
        <v>10</v>
      </c>
      <c r="T561" s="54">
        <f t="shared" si="39"/>
        <v>1131.5789473684213</v>
      </c>
      <c r="U561" s="54">
        <f t="shared" si="38"/>
        <v>11517.857142857143</v>
      </c>
      <c r="V561" s="54">
        <v>12900</v>
      </c>
      <c r="W561" s="52"/>
      <c r="X561" s="52">
        <v>2012</v>
      </c>
      <c r="Y561" s="52"/>
    </row>
    <row r="562" spans="2:25" s="55" customFormat="1" ht="114.75" outlineLevel="1">
      <c r="B562" s="52" t="s">
        <v>1300</v>
      </c>
      <c r="C562" s="78" t="s">
        <v>246</v>
      </c>
      <c r="D562" s="128" t="s">
        <v>265</v>
      </c>
      <c r="E562" s="56" t="s">
        <v>135</v>
      </c>
      <c r="F562" s="56" t="s">
        <v>1441</v>
      </c>
      <c r="G562" s="56"/>
      <c r="H562" s="52" t="s">
        <v>243</v>
      </c>
      <c r="I562" s="52">
        <v>10</v>
      </c>
      <c r="J562" s="52">
        <v>430000000</v>
      </c>
      <c r="K562" s="56" t="s">
        <v>122</v>
      </c>
      <c r="L562" s="52" t="s">
        <v>1503</v>
      </c>
      <c r="M562" s="56" t="s">
        <v>122</v>
      </c>
      <c r="N562" s="52" t="s">
        <v>241</v>
      </c>
      <c r="O562" s="53" t="s">
        <v>1978</v>
      </c>
      <c r="P562" s="53" t="s">
        <v>1538</v>
      </c>
      <c r="Q562" s="52">
        <v>796</v>
      </c>
      <c r="R562" s="52" t="s">
        <v>1818</v>
      </c>
      <c r="S562" s="54">
        <v>240</v>
      </c>
      <c r="T562" s="54">
        <f t="shared" si="39"/>
        <v>9.4298245614035086</v>
      </c>
      <c r="U562" s="54">
        <f t="shared" si="38"/>
        <v>2303.5714285714284</v>
      </c>
      <c r="V562" s="54">
        <v>2580</v>
      </c>
      <c r="W562" s="52"/>
      <c r="X562" s="52">
        <v>2012</v>
      </c>
      <c r="Y562" s="52"/>
    </row>
    <row r="563" spans="2:25" s="55" customFormat="1" ht="114.75" outlineLevel="1">
      <c r="B563" s="52" t="s">
        <v>1301</v>
      </c>
      <c r="C563" s="78" t="s">
        <v>246</v>
      </c>
      <c r="D563" s="128" t="s">
        <v>268</v>
      </c>
      <c r="E563" s="56" t="s">
        <v>136</v>
      </c>
      <c r="F563" s="56" t="s">
        <v>1442</v>
      </c>
      <c r="G563" s="56"/>
      <c r="H563" s="52" t="s">
        <v>243</v>
      </c>
      <c r="I563" s="52">
        <v>10</v>
      </c>
      <c r="J563" s="52">
        <v>430000000</v>
      </c>
      <c r="K563" s="56" t="s">
        <v>122</v>
      </c>
      <c r="L563" s="52" t="s">
        <v>1503</v>
      </c>
      <c r="M563" s="56" t="s">
        <v>122</v>
      </c>
      <c r="N563" s="52" t="s">
        <v>241</v>
      </c>
      <c r="O563" s="53" t="s">
        <v>1978</v>
      </c>
      <c r="P563" s="53" t="s">
        <v>1538</v>
      </c>
      <c r="Q563" s="52">
        <v>796</v>
      </c>
      <c r="R563" s="52" t="s">
        <v>1818</v>
      </c>
      <c r="S563" s="54">
        <v>60</v>
      </c>
      <c r="T563" s="54">
        <f t="shared" si="39"/>
        <v>424.34210526315786</v>
      </c>
      <c r="U563" s="54">
        <f t="shared" si="38"/>
        <v>25915.178571428572</v>
      </c>
      <c r="V563" s="54">
        <v>29025</v>
      </c>
      <c r="W563" s="52"/>
      <c r="X563" s="52">
        <v>2012</v>
      </c>
      <c r="Y563" s="52"/>
    </row>
    <row r="564" spans="2:25" s="55" customFormat="1" ht="114.75" outlineLevel="1">
      <c r="B564" s="52" t="s">
        <v>1302</v>
      </c>
      <c r="C564" s="78" t="s">
        <v>246</v>
      </c>
      <c r="D564" s="128" t="s">
        <v>265</v>
      </c>
      <c r="E564" s="56" t="s">
        <v>137</v>
      </c>
      <c r="F564" s="56" t="s">
        <v>1443</v>
      </c>
      <c r="G564" s="56"/>
      <c r="H564" s="52" t="s">
        <v>243</v>
      </c>
      <c r="I564" s="52">
        <v>10</v>
      </c>
      <c r="J564" s="52">
        <v>430000000</v>
      </c>
      <c r="K564" s="56" t="s">
        <v>122</v>
      </c>
      <c r="L564" s="52" t="s">
        <v>1503</v>
      </c>
      <c r="M564" s="56" t="s">
        <v>122</v>
      </c>
      <c r="N564" s="52" t="s">
        <v>241</v>
      </c>
      <c r="O564" s="53" t="s">
        <v>1978</v>
      </c>
      <c r="P564" s="53" t="s">
        <v>1538</v>
      </c>
      <c r="Q564" s="52">
        <v>796</v>
      </c>
      <c r="R564" s="52" t="s">
        <v>1818</v>
      </c>
      <c r="S564" s="54">
        <v>60</v>
      </c>
      <c r="T564" s="54">
        <f t="shared" si="39"/>
        <v>179.16666666666666</v>
      </c>
      <c r="U564" s="54">
        <f t="shared" si="38"/>
        <v>10941.964285714286</v>
      </c>
      <c r="V564" s="54">
        <v>12255</v>
      </c>
      <c r="W564" s="52"/>
      <c r="X564" s="52">
        <v>2012</v>
      </c>
      <c r="Y564" s="52"/>
    </row>
    <row r="565" spans="2:25" s="55" customFormat="1" ht="114.75" outlineLevel="1">
      <c r="B565" s="52" t="s">
        <v>1303</v>
      </c>
      <c r="C565" s="78" t="s">
        <v>246</v>
      </c>
      <c r="D565" s="128" t="s">
        <v>265</v>
      </c>
      <c r="E565" s="56" t="s">
        <v>138</v>
      </c>
      <c r="F565" s="56" t="s">
        <v>1444</v>
      </c>
      <c r="G565" s="56"/>
      <c r="H565" s="52" t="s">
        <v>243</v>
      </c>
      <c r="I565" s="52">
        <v>10</v>
      </c>
      <c r="J565" s="52">
        <v>430000000</v>
      </c>
      <c r="K565" s="56" t="s">
        <v>122</v>
      </c>
      <c r="L565" s="52" t="s">
        <v>1503</v>
      </c>
      <c r="M565" s="56" t="s">
        <v>122</v>
      </c>
      <c r="N565" s="52" t="s">
        <v>241</v>
      </c>
      <c r="O565" s="53" t="s">
        <v>1978</v>
      </c>
      <c r="P565" s="53" t="s">
        <v>1538</v>
      </c>
      <c r="Q565" s="52">
        <v>796</v>
      </c>
      <c r="R565" s="52" t="s">
        <v>1818</v>
      </c>
      <c r="S565" s="54">
        <v>10</v>
      </c>
      <c r="T565" s="54">
        <f t="shared" si="39"/>
        <v>141.44736842105266</v>
      </c>
      <c r="U565" s="54">
        <f t="shared" si="38"/>
        <v>1439.7321428571429</v>
      </c>
      <c r="V565" s="54">
        <v>1612.5</v>
      </c>
      <c r="W565" s="52"/>
      <c r="X565" s="52">
        <v>2012</v>
      </c>
      <c r="Y565" s="52"/>
    </row>
    <row r="566" spans="2:25" s="55" customFormat="1" ht="114.75" outlineLevel="1">
      <c r="B566" s="52" t="s">
        <v>1304</v>
      </c>
      <c r="C566" s="78" t="s">
        <v>246</v>
      </c>
      <c r="D566" s="128" t="s">
        <v>265</v>
      </c>
      <c r="E566" s="56" t="s">
        <v>139</v>
      </c>
      <c r="F566" s="56" t="s">
        <v>1445</v>
      </c>
      <c r="G566" s="56"/>
      <c r="H566" s="52" t="s">
        <v>243</v>
      </c>
      <c r="I566" s="52">
        <v>10</v>
      </c>
      <c r="J566" s="52">
        <v>430000000</v>
      </c>
      <c r="K566" s="56" t="s">
        <v>122</v>
      </c>
      <c r="L566" s="52" t="s">
        <v>1503</v>
      </c>
      <c r="M566" s="56" t="s">
        <v>122</v>
      </c>
      <c r="N566" s="52" t="s">
        <v>241</v>
      </c>
      <c r="O566" s="53" t="s">
        <v>1978</v>
      </c>
      <c r="P566" s="53" t="s">
        <v>1538</v>
      </c>
      <c r="Q566" s="52">
        <v>796</v>
      </c>
      <c r="R566" s="52" t="s">
        <v>1818</v>
      </c>
      <c r="S566" s="54">
        <v>60</v>
      </c>
      <c r="T566" s="54">
        <f t="shared" si="39"/>
        <v>99.013157894736835</v>
      </c>
      <c r="U566" s="54">
        <f t="shared" ref="U566:U649" si="40">V566/112*100</f>
        <v>6046.875</v>
      </c>
      <c r="V566" s="54">
        <v>6772.5</v>
      </c>
      <c r="W566" s="52"/>
      <c r="X566" s="52">
        <v>2012</v>
      </c>
      <c r="Y566" s="52"/>
    </row>
    <row r="567" spans="2:25" s="55" customFormat="1" ht="114.75" outlineLevel="1">
      <c r="B567" s="52" t="s">
        <v>1305</v>
      </c>
      <c r="C567" s="78" t="s">
        <v>246</v>
      </c>
      <c r="D567" s="128" t="s">
        <v>265</v>
      </c>
      <c r="E567" s="56" t="s">
        <v>140</v>
      </c>
      <c r="F567" s="57" t="s">
        <v>1446</v>
      </c>
      <c r="G567" s="57"/>
      <c r="H567" s="52" t="s">
        <v>243</v>
      </c>
      <c r="I567" s="52">
        <v>10</v>
      </c>
      <c r="J567" s="52">
        <v>430000000</v>
      </c>
      <c r="K567" s="56" t="s">
        <v>122</v>
      </c>
      <c r="L567" s="52" t="s">
        <v>1503</v>
      </c>
      <c r="M567" s="56" t="s">
        <v>122</v>
      </c>
      <c r="N567" s="52" t="s">
        <v>241</v>
      </c>
      <c r="O567" s="53" t="s">
        <v>1978</v>
      </c>
      <c r="P567" s="53" t="s">
        <v>1538</v>
      </c>
      <c r="Q567" s="52">
        <v>796</v>
      </c>
      <c r="R567" s="52" t="s">
        <v>1818</v>
      </c>
      <c r="S567" s="54">
        <v>60</v>
      </c>
      <c r="T567" s="54">
        <f t="shared" si="39"/>
        <v>84.868421052631575</v>
      </c>
      <c r="U567" s="54">
        <f t="shared" si="40"/>
        <v>5183.0357142857147</v>
      </c>
      <c r="V567" s="54">
        <v>5805</v>
      </c>
      <c r="W567" s="52"/>
      <c r="X567" s="52">
        <v>2012</v>
      </c>
      <c r="Y567" s="52"/>
    </row>
    <row r="568" spans="2:25" s="55" customFormat="1" ht="114.75" outlineLevel="1">
      <c r="B568" s="52" t="s">
        <v>1306</v>
      </c>
      <c r="C568" s="78" t="s">
        <v>246</v>
      </c>
      <c r="D568" s="56" t="s">
        <v>265</v>
      </c>
      <c r="E568" s="56" t="s">
        <v>141</v>
      </c>
      <c r="F568" s="57" t="s">
        <v>1447</v>
      </c>
      <c r="G568" s="57"/>
      <c r="H568" s="52" t="s">
        <v>243</v>
      </c>
      <c r="I568" s="52">
        <v>10</v>
      </c>
      <c r="J568" s="52">
        <v>430000000</v>
      </c>
      <c r="K568" s="56" t="s">
        <v>122</v>
      </c>
      <c r="L568" s="52" t="s">
        <v>1503</v>
      </c>
      <c r="M568" s="56" t="s">
        <v>122</v>
      </c>
      <c r="N568" s="52" t="s">
        <v>241</v>
      </c>
      <c r="O568" s="53" t="s">
        <v>1978</v>
      </c>
      <c r="P568" s="53" t="s">
        <v>1538</v>
      </c>
      <c r="Q568" s="52">
        <v>796</v>
      </c>
      <c r="R568" s="52" t="s">
        <v>1818</v>
      </c>
      <c r="S568" s="54">
        <v>20</v>
      </c>
      <c r="T568" s="54">
        <f t="shared" si="39"/>
        <v>471.4912280701754</v>
      </c>
      <c r="U568" s="54">
        <f t="shared" si="40"/>
        <v>9598.2142857142862</v>
      </c>
      <c r="V568" s="54">
        <v>10750</v>
      </c>
      <c r="W568" s="52"/>
      <c r="X568" s="52">
        <v>2012</v>
      </c>
      <c r="Y568" s="52"/>
    </row>
    <row r="569" spans="2:25" s="55" customFormat="1" ht="114.75" outlineLevel="1">
      <c r="B569" s="52" t="s">
        <v>1307</v>
      </c>
      <c r="C569" s="78" t="s">
        <v>246</v>
      </c>
      <c r="D569" s="56" t="s">
        <v>265</v>
      </c>
      <c r="E569" s="56" t="s">
        <v>142</v>
      </c>
      <c r="F569" s="53" t="s">
        <v>1448</v>
      </c>
      <c r="G569" s="53"/>
      <c r="H569" s="52" t="s">
        <v>243</v>
      </c>
      <c r="I569" s="52">
        <v>10</v>
      </c>
      <c r="J569" s="52">
        <v>430000000</v>
      </c>
      <c r="K569" s="56" t="s">
        <v>122</v>
      </c>
      <c r="L569" s="52" t="s">
        <v>1503</v>
      </c>
      <c r="M569" s="56" t="s">
        <v>122</v>
      </c>
      <c r="N569" s="52" t="s">
        <v>241</v>
      </c>
      <c r="O569" s="53" t="s">
        <v>1978</v>
      </c>
      <c r="P569" s="53" t="s">
        <v>1538</v>
      </c>
      <c r="Q569" s="52">
        <v>796</v>
      </c>
      <c r="R569" s="52" t="s">
        <v>1818</v>
      </c>
      <c r="S569" s="54">
        <v>40</v>
      </c>
      <c r="T569" s="54">
        <f t="shared" si="39"/>
        <v>113.15789473684211</v>
      </c>
      <c r="U569" s="54">
        <f t="shared" si="40"/>
        <v>4607.1428571428569</v>
      </c>
      <c r="V569" s="54">
        <v>5160</v>
      </c>
      <c r="W569" s="52"/>
      <c r="X569" s="52">
        <v>2012</v>
      </c>
      <c r="Y569" s="52"/>
    </row>
    <row r="570" spans="2:25" s="55" customFormat="1" ht="114.75" outlineLevel="1">
      <c r="B570" s="52" t="s">
        <v>1308</v>
      </c>
      <c r="C570" s="78" t="s">
        <v>246</v>
      </c>
      <c r="D570" s="128" t="s">
        <v>265</v>
      </c>
      <c r="E570" s="56" t="s">
        <v>143</v>
      </c>
      <c r="F570" s="56" t="s">
        <v>1449</v>
      </c>
      <c r="G570" s="56"/>
      <c r="H570" s="52" t="s">
        <v>243</v>
      </c>
      <c r="I570" s="52">
        <v>10</v>
      </c>
      <c r="J570" s="52">
        <v>430000000</v>
      </c>
      <c r="K570" s="56" t="s">
        <v>122</v>
      </c>
      <c r="L570" s="52" t="s">
        <v>1503</v>
      </c>
      <c r="M570" s="56" t="s">
        <v>122</v>
      </c>
      <c r="N570" s="52" t="s">
        <v>241</v>
      </c>
      <c r="O570" s="53" t="s">
        <v>1978</v>
      </c>
      <c r="P570" s="53" t="s">
        <v>1538</v>
      </c>
      <c r="Q570" s="52">
        <v>796</v>
      </c>
      <c r="R570" s="52" t="s">
        <v>1818</v>
      </c>
      <c r="S570" s="54">
        <v>40</v>
      </c>
      <c r="T570" s="54">
        <f t="shared" si="39"/>
        <v>84.868421052631575</v>
      </c>
      <c r="U570" s="54">
        <f t="shared" si="40"/>
        <v>3455.3571428571431</v>
      </c>
      <c r="V570" s="54">
        <v>3870</v>
      </c>
      <c r="W570" s="52"/>
      <c r="X570" s="52">
        <v>2012</v>
      </c>
      <c r="Y570" s="52"/>
    </row>
    <row r="571" spans="2:25" s="55" customFormat="1" ht="114.75" outlineLevel="1">
      <c r="B571" s="52" t="s">
        <v>1656</v>
      </c>
      <c r="C571" s="78" t="s">
        <v>246</v>
      </c>
      <c r="D571" s="128" t="s">
        <v>265</v>
      </c>
      <c r="E571" s="56" t="s">
        <v>144</v>
      </c>
      <c r="F571" s="56" t="s">
        <v>1450</v>
      </c>
      <c r="G571" s="56"/>
      <c r="H571" s="52" t="s">
        <v>243</v>
      </c>
      <c r="I571" s="52">
        <v>10</v>
      </c>
      <c r="J571" s="52">
        <v>430000000</v>
      </c>
      <c r="K571" s="56" t="s">
        <v>122</v>
      </c>
      <c r="L571" s="52" t="s">
        <v>1503</v>
      </c>
      <c r="M571" s="56" t="s">
        <v>122</v>
      </c>
      <c r="N571" s="52" t="s">
        <v>241</v>
      </c>
      <c r="O571" s="53" t="s">
        <v>1978</v>
      </c>
      <c r="P571" s="53" t="s">
        <v>1538</v>
      </c>
      <c r="Q571" s="52">
        <v>796</v>
      </c>
      <c r="R571" s="52" t="s">
        <v>1818</v>
      </c>
      <c r="S571" s="54">
        <v>40</v>
      </c>
      <c r="T571" s="54">
        <f t="shared" si="39"/>
        <v>47.149122807017548</v>
      </c>
      <c r="U571" s="54">
        <f t="shared" si="40"/>
        <v>1919.6428571428573</v>
      </c>
      <c r="V571" s="54">
        <v>2150</v>
      </c>
      <c r="W571" s="52"/>
      <c r="X571" s="52">
        <v>2012</v>
      </c>
      <c r="Y571" s="52"/>
    </row>
    <row r="572" spans="2:25" s="55" customFormat="1" ht="114.75" outlineLevel="1">
      <c r="B572" s="52" t="s">
        <v>1309</v>
      </c>
      <c r="C572" s="78" t="s">
        <v>246</v>
      </c>
      <c r="D572" s="128" t="s">
        <v>265</v>
      </c>
      <c r="E572" s="56" t="s">
        <v>145</v>
      </c>
      <c r="F572" s="56" t="s">
        <v>1451</v>
      </c>
      <c r="G572" s="56"/>
      <c r="H572" s="52" t="s">
        <v>243</v>
      </c>
      <c r="I572" s="52">
        <v>10</v>
      </c>
      <c r="J572" s="52">
        <v>430000000</v>
      </c>
      <c r="K572" s="56" t="s">
        <v>122</v>
      </c>
      <c r="L572" s="52" t="s">
        <v>1503</v>
      </c>
      <c r="M572" s="56" t="s">
        <v>122</v>
      </c>
      <c r="N572" s="52" t="s">
        <v>241</v>
      </c>
      <c r="O572" s="53" t="s">
        <v>1978</v>
      </c>
      <c r="P572" s="53" t="s">
        <v>1538</v>
      </c>
      <c r="Q572" s="52">
        <v>796</v>
      </c>
      <c r="R572" s="52" t="s">
        <v>1818</v>
      </c>
      <c r="S572" s="54">
        <v>20</v>
      </c>
      <c r="T572" s="54">
        <f t="shared" si="39"/>
        <v>264.03508771929825</v>
      </c>
      <c r="U572" s="54">
        <f t="shared" si="40"/>
        <v>5375</v>
      </c>
      <c r="V572" s="54">
        <v>6020</v>
      </c>
      <c r="W572" s="52"/>
      <c r="X572" s="52">
        <v>2012</v>
      </c>
      <c r="Y572" s="52"/>
    </row>
    <row r="573" spans="2:25" s="55" customFormat="1" ht="114.75" outlineLevel="1">
      <c r="B573" s="52" t="s">
        <v>1310</v>
      </c>
      <c r="C573" s="78" t="s">
        <v>246</v>
      </c>
      <c r="D573" s="128" t="s">
        <v>265</v>
      </c>
      <c r="E573" s="56" t="s">
        <v>146</v>
      </c>
      <c r="F573" s="57" t="s">
        <v>1452</v>
      </c>
      <c r="G573" s="57"/>
      <c r="H573" s="52" t="s">
        <v>243</v>
      </c>
      <c r="I573" s="52">
        <v>10</v>
      </c>
      <c r="J573" s="52">
        <v>430000000</v>
      </c>
      <c r="K573" s="56" t="s">
        <v>122</v>
      </c>
      <c r="L573" s="52" t="s">
        <v>1503</v>
      </c>
      <c r="M573" s="56" t="s">
        <v>122</v>
      </c>
      <c r="N573" s="52" t="s">
        <v>241</v>
      </c>
      <c r="O573" s="53" t="s">
        <v>1978</v>
      </c>
      <c r="P573" s="53" t="s">
        <v>1538</v>
      </c>
      <c r="Q573" s="52">
        <v>796</v>
      </c>
      <c r="R573" s="52" t="s">
        <v>1818</v>
      </c>
      <c r="S573" s="54">
        <v>2</v>
      </c>
      <c r="T573" s="54">
        <f t="shared" si="39"/>
        <v>2357.4561403508769</v>
      </c>
      <c r="U573" s="54">
        <f t="shared" si="40"/>
        <v>4799.1071428571431</v>
      </c>
      <c r="V573" s="54">
        <v>5375</v>
      </c>
      <c r="W573" s="52"/>
      <c r="X573" s="52">
        <v>2012</v>
      </c>
      <c r="Y573" s="52"/>
    </row>
    <row r="574" spans="2:25" s="55" customFormat="1" ht="114.75" outlineLevel="1">
      <c r="B574" s="52" t="s">
        <v>1311</v>
      </c>
      <c r="C574" s="78" t="s">
        <v>246</v>
      </c>
      <c r="D574" s="128" t="s">
        <v>265</v>
      </c>
      <c r="E574" s="56" t="s">
        <v>147</v>
      </c>
      <c r="F574" s="53" t="s">
        <v>1454</v>
      </c>
      <c r="G574" s="53"/>
      <c r="H574" s="52" t="s">
        <v>243</v>
      </c>
      <c r="I574" s="52">
        <v>10</v>
      </c>
      <c r="J574" s="52">
        <v>430000000</v>
      </c>
      <c r="K574" s="56" t="s">
        <v>122</v>
      </c>
      <c r="L574" s="52" t="s">
        <v>1503</v>
      </c>
      <c r="M574" s="56" t="s">
        <v>122</v>
      </c>
      <c r="N574" s="52" t="s">
        <v>241</v>
      </c>
      <c r="O574" s="53" t="s">
        <v>1978</v>
      </c>
      <c r="P574" s="53" t="s">
        <v>1538</v>
      </c>
      <c r="Q574" s="52">
        <v>796</v>
      </c>
      <c r="R574" s="52" t="s">
        <v>1818</v>
      </c>
      <c r="S574" s="54">
        <v>240</v>
      </c>
      <c r="T574" s="54">
        <f t="shared" si="39"/>
        <v>28.289473684210524</v>
      </c>
      <c r="U574" s="54">
        <f t="shared" si="40"/>
        <v>6910.7142857142862</v>
      </c>
      <c r="V574" s="54">
        <v>7740</v>
      </c>
      <c r="W574" s="52"/>
      <c r="X574" s="52">
        <v>2012</v>
      </c>
      <c r="Y574" s="52"/>
    </row>
    <row r="575" spans="2:25" s="55" customFormat="1" ht="114.75" outlineLevel="1">
      <c r="B575" s="52" t="s">
        <v>1312</v>
      </c>
      <c r="C575" s="78" t="s">
        <v>246</v>
      </c>
      <c r="D575" s="128" t="s">
        <v>265</v>
      </c>
      <c r="E575" s="56" t="s">
        <v>148</v>
      </c>
      <c r="F575" s="57" t="s">
        <v>148</v>
      </c>
      <c r="G575" s="57"/>
      <c r="H575" s="52" t="s">
        <v>243</v>
      </c>
      <c r="I575" s="52">
        <v>10</v>
      </c>
      <c r="J575" s="52">
        <v>430000000</v>
      </c>
      <c r="K575" s="56" t="s">
        <v>122</v>
      </c>
      <c r="L575" s="52" t="s">
        <v>1503</v>
      </c>
      <c r="M575" s="56" t="s">
        <v>122</v>
      </c>
      <c r="N575" s="52" t="s">
        <v>241</v>
      </c>
      <c r="O575" s="53" t="s">
        <v>1978</v>
      </c>
      <c r="P575" s="53" t="s">
        <v>1538</v>
      </c>
      <c r="Q575" s="52">
        <v>796</v>
      </c>
      <c r="R575" s="52" t="s">
        <v>1818</v>
      </c>
      <c r="S575" s="54">
        <v>10</v>
      </c>
      <c r="T575" s="54">
        <f t="shared" si="39"/>
        <v>631.79824561403507</v>
      </c>
      <c r="U575" s="54">
        <f t="shared" si="40"/>
        <v>6430.8035714285706</v>
      </c>
      <c r="V575" s="54">
        <v>7202.5</v>
      </c>
      <c r="W575" s="52"/>
      <c r="X575" s="52">
        <v>2012</v>
      </c>
      <c r="Y575" s="52"/>
    </row>
    <row r="576" spans="2:25" s="55" customFormat="1" ht="114.75" outlineLevel="1">
      <c r="B576" s="52" t="s">
        <v>1313</v>
      </c>
      <c r="C576" s="78" t="s">
        <v>246</v>
      </c>
      <c r="D576" s="128" t="s">
        <v>265</v>
      </c>
      <c r="E576" s="56" t="s">
        <v>149</v>
      </c>
      <c r="F576" s="57" t="s">
        <v>1453</v>
      </c>
      <c r="G576" s="57"/>
      <c r="H576" s="52" t="s">
        <v>243</v>
      </c>
      <c r="I576" s="52">
        <v>10</v>
      </c>
      <c r="J576" s="52">
        <v>430000000</v>
      </c>
      <c r="K576" s="56" t="s">
        <v>122</v>
      </c>
      <c r="L576" s="52" t="s">
        <v>1503</v>
      </c>
      <c r="M576" s="56" t="s">
        <v>122</v>
      </c>
      <c r="N576" s="52" t="s">
        <v>241</v>
      </c>
      <c r="O576" s="53" t="s">
        <v>1978</v>
      </c>
      <c r="P576" s="53" t="s">
        <v>1538</v>
      </c>
      <c r="Q576" s="52">
        <v>796</v>
      </c>
      <c r="R576" s="52" t="s">
        <v>1818</v>
      </c>
      <c r="S576" s="54">
        <v>120</v>
      </c>
      <c r="T576" s="54">
        <f t="shared" si="39"/>
        <v>28.289473684210524</v>
      </c>
      <c r="U576" s="54">
        <f t="shared" si="40"/>
        <v>3455.3571428571431</v>
      </c>
      <c r="V576" s="54">
        <v>3870</v>
      </c>
      <c r="W576" s="52"/>
      <c r="X576" s="52">
        <v>2012</v>
      </c>
      <c r="Y576" s="52"/>
    </row>
    <row r="577" spans="2:25" s="55" customFormat="1" ht="165.75" outlineLevel="1">
      <c r="B577" s="52" t="s">
        <v>1314</v>
      </c>
      <c r="C577" s="78" t="s">
        <v>246</v>
      </c>
      <c r="D577" s="77">
        <v>27015</v>
      </c>
      <c r="E577" s="56" t="s">
        <v>2325</v>
      </c>
      <c r="F577" s="56" t="s">
        <v>2324</v>
      </c>
      <c r="G577" s="56"/>
      <c r="H577" s="52" t="s">
        <v>243</v>
      </c>
      <c r="I577" s="52">
        <v>10</v>
      </c>
      <c r="J577" s="52">
        <v>390000000</v>
      </c>
      <c r="K577" s="56" t="s">
        <v>121</v>
      </c>
      <c r="L577" s="52" t="s">
        <v>1503</v>
      </c>
      <c r="M577" s="56" t="s">
        <v>121</v>
      </c>
      <c r="N577" s="52" t="s">
        <v>241</v>
      </c>
      <c r="O577" s="53" t="s">
        <v>1978</v>
      </c>
      <c r="P577" s="53" t="s">
        <v>1538</v>
      </c>
      <c r="Q577" s="52">
        <v>5111</v>
      </c>
      <c r="R577" s="52" t="s">
        <v>1434</v>
      </c>
      <c r="S577" s="54">
        <v>264</v>
      </c>
      <c r="T577" s="54">
        <f t="shared" si="39"/>
        <v>565.78947368421052</v>
      </c>
      <c r="U577" s="54">
        <f t="shared" si="40"/>
        <v>152035.71428571429</v>
      </c>
      <c r="V577" s="54">
        <v>170280</v>
      </c>
      <c r="W577" s="52"/>
      <c r="X577" s="52">
        <v>2012</v>
      </c>
      <c r="Y577" s="52"/>
    </row>
    <row r="578" spans="2:25" s="55" customFormat="1" ht="114.75" outlineLevel="1">
      <c r="B578" s="52" t="s">
        <v>1315</v>
      </c>
      <c r="C578" s="78" t="s">
        <v>246</v>
      </c>
      <c r="D578" s="56" t="s">
        <v>263</v>
      </c>
      <c r="E578" s="56" t="s">
        <v>130</v>
      </c>
      <c r="F578" s="56" t="s">
        <v>1438</v>
      </c>
      <c r="G578" s="56"/>
      <c r="H578" s="52" t="s">
        <v>243</v>
      </c>
      <c r="I578" s="52">
        <v>10</v>
      </c>
      <c r="J578" s="52">
        <v>390000000</v>
      </c>
      <c r="K578" s="56" t="s">
        <v>121</v>
      </c>
      <c r="L578" s="52" t="s">
        <v>1503</v>
      </c>
      <c r="M578" s="56" t="s">
        <v>121</v>
      </c>
      <c r="N578" s="52" t="s">
        <v>241</v>
      </c>
      <c r="O578" s="53" t="s">
        <v>1978</v>
      </c>
      <c r="P578" s="53" t="s">
        <v>1538</v>
      </c>
      <c r="Q578" s="52">
        <v>736</v>
      </c>
      <c r="R578" s="52" t="s">
        <v>1435</v>
      </c>
      <c r="S578" s="54">
        <v>22</v>
      </c>
      <c r="T578" s="54">
        <f t="shared" si="39"/>
        <v>216.88596491228071</v>
      </c>
      <c r="U578" s="54">
        <f t="shared" si="40"/>
        <v>4856.6964285714284</v>
      </c>
      <c r="V578" s="54">
        <v>5439.5</v>
      </c>
      <c r="W578" s="52"/>
      <c r="X578" s="52">
        <v>2012</v>
      </c>
      <c r="Y578" s="52"/>
    </row>
    <row r="579" spans="2:25" s="55" customFormat="1" ht="114.75" outlineLevel="1">
      <c r="B579" s="52" t="s">
        <v>1316</v>
      </c>
      <c r="C579" s="78" t="s">
        <v>246</v>
      </c>
      <c r="D579" s="128" t="s">
        <v>265</v>
      </c>
      <c r="E579" s="56" t="s">
        <v>131</v>
      </c>
      <c r="F579" s="53" t="s">
        <v>1456</v>
      </c>
      <c r="G579" s="53"/>
      <c r="H579" s="52" t="s">
        <v>243</v>
      </c>
      <c r="I579" s="52">
        <v>10</v>
      </c>
      <c r="J579" s="52">
        <v>390000000</v>
      </c>
      <c r="K579" s="56" t="s">
        <v>121</v>
      </c>
      <c r="L579" s="52" t="s">
        <v>1503</v>
      </c>
      <c r="M579" s="56" t="s">
        <v>121</v>
      </c>
      <c r="N579" s="52" t="s">
        <v>241</v>
      </c>
      <c r="O579" s="53" t="s">
        <v>1978</v>
      </c>
      <c r="P579" s="53" t="s">
        <v>1538</v>
      </c>
      <c r="Q579" s="52">
        <v>796</v>
      </c>
      <c r="R579" s="52" t="s">
        <v>1818</v>
      </c>
      <c r="S579" s="54">
        <v>44</v>
      </c>
      <c r="T579" s="54">
        <f t="shared" si="39"/>
        <v>103.72807017543859</v>
      </c>
      <c r="U579" s="54">
        <f t="shared" si="40"/>
        <v>4645.5357142857147</v>
      </c>
      <c r="V579" s="54">
        <v>5203</v>
      </c>
      <c r="W579" s="52"/>
      <c r="X579" s="52">
        <v>2012</v>
      </c>
      <c r="Y579" s="52"/>
    </row>
    <row r="580" spans="2:25" s="55" customFormat="1" ht="114.75" outlineLevel="1">
      <c r="B580" s="52" t="s">
        <v>1317</v>
      </c>
      <c r="C580" s="78" t="s">
        <v>246</v>
      </c>
      <c r="D580" s="128" t="s">
        <v>265</v>
      </c>
      <c r="E580" s="56" t="s">
        <v>132</v>
      </c>
      <c r="F580" s="56" t="s">
        <v>1439</v>
      </c>
      <c r="G580" s="56"/>
      <c r="H580" s="52" t="s">
        <v>243</v>
      </c>
      <c r="I580" s="52">
        <v>10</v>
      </c>
      <c r="J580" s="52">
        <v>390000000</v>
      </c>
      <c r="K580" s="56" t="s">
        <v>121</v>
      </c>
      <c r="L580" s="52" t="s">
        <v>1503</v>
      </c>
      <c r="M580" s="56" t="s">
        <v>121</v>
      </c>
      <c r="N580" s="52" t="s">
        <v>241</v>
      </c>
      <c r="O580" s="53" t="s">
        <v>1978</v>
      </c>
      <c r="P580" s="53" t="s">
        <v>1538</v>
      </c>
      <c r="Q580" s="52">
        <v>796</v>
      </c>
      <c r="R580" s="52" t="s">
        <v>1818</v>
      </c>
      <c r="S580" s="54">
        <v>44</v>
      </c>
      <c r="T580" s="54">
        <f t="shared" si="39"/>
        <v>141.44736842105263</v>
      </c>
      <c r="U580" s="54">
        <f t="shared" si="40"/>
        <v>6334.8214285714284</v>
      </c>
      <c r="V580" s="54">
        <v>7095</v>
      </c>
      <c r="W580" s="52"/>
      <c r="X580" s="52">
        <v>2012</v>
      </c>
      <c r="Y580" s="52"/>
    </row>
    <row r="581" spans="2:25" s="55" customFormat="1" ht="114.75" outlineLevel="1">
      <c r="B581" s="52" t="s">
        <v>1318</v>
      </c>
      <c r="C581" s="78" t="s">
        <v>246</v>
      </c>
      <c r="D581" s="128" t="s">
        <v>265</v>
      </c>
      <c r="E581" s="56" t="s">
        <v>133</v>
      </c>
      <c r="F581" s="56" t="s">
        <v>1440</v>
      </c>
      <c r="G581" s="56"/>
      <c r="H581" s="52" t="s">
        <v>243</v>
      </c>
      <c r="I581" s="52">
        <v>10</v>
      </c>
      <c r="J581" s="52">
        <v>390000000</v>
      </c>
      <c r="K581" s="56" t="s">
        <v>121</v>
      </c>
      <c r="L581" s="52" t="s">
        <v>1503</v>
      </c>
      <c r="M581" s="56" t="s">
        <v>121</v>
      </c>
      <c r="N581" s="52" t="s">
        <v>241</v>
      </c>
      <c r="O581" s="53" t="s">
        <v>1978</v>
      </c>
      <c r="P581" s="53" t="s">
        <v>1538</v>
      </c>
      <c r="Q581" s="52">
        <v>796</v>
      </c>
      <c r="R581" s="52" t="s">
        <v>1818</v>
      </c>
      <c r="S581" s="54">
        <v>44</v>
      </c>
      <c r="T581" s="54">
        <f t="shared" si="39"/>
        <v>89.583333333333329</v>
      </c>
      <c r="U581" s="54">
        <f t="shared" si="40"/>
        <v>4012.0535714285716</v>
      </c>
      <c r="V581" s="54">
        <v>4493.5</v>
      </c>
      <c r="W581" s="52"/>
      <c r="X581" s="52">
        <v>2012</v>
      </c>
      <c r="Y581" s="52"/>
    </row>
    <row r="582" spans="2:25" s="55" customFormat="1" ht="114.75" outlineLevel="1">
      <c r="B582" s="52" t="s">
        <v>1319</v>
      </c>
      <c r="C582" s="78" t="s">
        <v>246</v>
      </c>
      <c r="D582" s="128" t="s">
        <v>265</v>
      </c>
      <c r="E582" s="56" t="s">
        <v>134</v>
      </c>
      <c r="F582" s="53" t="s">
        <v>1455</v>
      </c>
      <c r="G582" s="53"/>
      <c r="H582" s="52" t="s">
        <v>243</v>
      </c>
      <c r="I582" s="52">
        <v>10</v>
      </c>
      <c r="J582" s="52">
        <v>390000000</v>
      </c>
      <c r="K582" s="56" t="s">
        <v>121</v>
      </c>
      <c r="L582" s="52" t="s">
        <v>1503</v>
      </c>
      <c r="M582" s="56" t="s">
        <v>121</v>
      </c>
      <c r="N582" s="52" t="s">
        <v>241</v>
      </c>
      <c r="O582" s="53" t="s">
        <v>1978</v>
      </c>
      <c r="P582" s="53" t="s">
        <v>1538</v>
      </c>
      <c r="Q582" s="52">
        <v>704</v>
      </c>
      <c r="R582" s="52" t="s">
        <v>1436</v>
      </c>
      <c r="S582" s="54">
        <v>11</v>
      </c>
      <c r="T582" s="54">
        <f t="shared" si="39"/>
        <v>1131.578947368421</v>
      </c>
      <c r="U582" s="54">
        <f t="shared" si="40"/>
        <v>12669.642857142857</v>
      </c>
      <c r="V582" s="54">
        <v>14190</v>
      </c>
      <c r="W582" s="52"/>
      <c r="X582" s="52">
        <v>2012</v>
      </c>
      <c r="Y582" s="52"/>
    </row>
    <row r="583" spans="2:25" s="55" customFormat="1" ht="114.75" outlineLevel="1">
      <c r="B583" s="52" t="s">
        <v>1320</v>
      </c>
      <c r="C583" s="78" t="s">
        <v>246</v>
      </c>
      <c r="D583" s="128" t="s">
        <v>265</v>
      </c>
      <c r="E583" s="56" t="s">
        <v>135</v>
      </c>
      <c r="F583" s="56" t="s">
        <v>1441</v>
      </c>
      <c r="G583" s="56"/>
      <c r="H583" s="52" t="s">
        <v>243</v>
      </c>
      <c r="I583" s="52">
        <v>10</v>
      </c>
      <c r="J583" s="52">
        <v>390000000</v>
      </c>
      <c r="K583" s="56" t="s">
        <v>121</v>
      </c>
      <c r="L583" s="52" t="s">
        <v>1503</v>
      </c>
      <c r="M583" s="56" t="s">
        <v>121</v>
      </c>
      <c r="N583" s="52" t="s">
        <v>241</v>
      </c>
      <c r="O583" s="53" t="s">
        <v>1978</v>
      </c>
      <c r="P583" s="53" t="s">
        <v>1538</v>
      </c>
      <c r="Q583" s="52">
        <v>796</v>
      </c>
      <c r="R583" s="52" t="s">
        <v>1818</v>
      </c>
      <c r="S583" s="54">
        <v>264</v>
      </c>
      <c r="T583" s="54">
        <f t="shared" si="39"/>
        <v>9.4298245614035086</v>
      </c>
      <c r="U583" s="54">
        <f t="shared" si="40"/>
        <v>2533.9285714285716</v>
      </c>
      <c r="V583" s="54">
        <v>2838</v>
      </c>
      <c r="W583" s="52"/>
      <c r="X583" s="52">
        <v>2012</v>
      </c>
      <c r="Y583" s="52"/>
    </row>
    <row r="584" spans="2:25" s="55" customFormat="1" ht="114.75" outlineLevel="1">
      <c r="B584" s="52" t="s">
        <v>1321</v>
      </c>
      <c r="C584" s="78" t="s">
        <v>246</v>
      </c>
      <c r="D584" s="128" t="s">
        <v>268</v>
      </c>
      <c r="E584" s="56" t="s">
        <v>136</v>
      </c>
      <c r="F584" s="56" t="s">
        <v>1442</v>
      </c>
      <c r="G584" s="56"/>
      <c r="H584" s="52" t="s">
        <v>243</v>
      </c>
      <c r="I584" s="52">
        <v>10</v>
      </c>
      <c r="J584" s="52">
        <v>390000000</v>
      </c>
      <c r="K584" s="56" t="s">
        <v>121</v>
      </c>
      <c r="L584" s="52" t="s">
        <v>1503</v>
      </c>
      <c r="M584" s="56" t="s">
        <v>121</v>
      </c>
      <c r="N584" s="52" t="s">
        <v>241</v>
      </c>
      <c r="O584" s="53" t="s">
        <v>1978</v>
      </c>
      <c r="P584" s="53" t="s">
        <v>1538</v>
      </c>
      <c r="Q584" s="52">
        <v>796</v>
      </c>
      <c r="R584" s="52" t="s">
        <v>1818</v>
      </c>
      <c r="S584" s="54">
        <v>66</v>
      </c>
      <c r="T584" s="54">
        <f t="shared" si="39"/>
        <v>424.34210526315792</v>
      </c>
      <c r="U584" s="54">
        <f t="shared" si="40"/>
        <v>28506.696428571428</v>
      </c>
      <c r="V584" s="54">
        <v>31927.5</v>
      </c>
      <c r="W584" s="52"/>
      <c r="X584" s="52">
        <v>2012</v>
      </c>
      <c r="Y584" s="52"/>
    </row>
    <row r="585" spans="2:25" s="55" customFormat="1" ht="114.75" outlineLevel="1">
      <c r="B585" s="52" t="s">
        <v>1322</v>
      </c>
      <c r="C585" s="78" t="s">
        <v>246</v>
      </c>
      <c r="D585" s="128" t="s">
        <v>265</v>
      </c>
      <c r="E585" s="56" t="s">
        <v>137</v>
      </c>
      <c r="F585" s="56" t="s">
        <v>1443</v>
      </c>
      <c r="G585" s="56"/>
      <c r="H585" s="52" t="s">
        <v>243</v>
      </c>
      <c r="I585" s="52">
        <v>10</v>
      </c>
      <c r="J585" s="52">
        <v>390000000</v>
      </c>
      <c r="K585" s="56" t="s">
        <v>121</v>
      </c>
      <c r="L585" s="52" t="s">
        <v>1503</v>
      </c>
      <c r="M585" s="56" t="s">
        <v>121</v>
      </c>
      <c r="N585" s="52" t="s">
        <v>241</v>
      </c>
      <c r="O585" s="53" t="s">
        <v>1978</v>
      </c>
      <c r="P585" s="53" t="s">
        <v>1538</v>
      </c>
      <c r="Q585" s="52">
        <v>796</v>
      </c>
      <c r="R585" s="52" t="s">
        <v>1818</v>
      </c>
      <c r="S585" s="54">
        <v>66</v>
      </c>
      <c r="T585" s="54">
        <f t="shared" si="39"/>
        <v>179.16666666666666</v>
      </c>
      <c r="U585" s="54">
        <f t="shared" si="40"/>
        <v>12036.160714285714</v>
      </c>
      <c r="V585" s="54">
        <v>13480.5</v>
      </c>
      <c r="W585" s="52"/>
      <c r="X585" s="52">
        <v>2012</v>
      </c>
      <c r="Y585" s="52"/>
    </row>
    <row r="586" spans="2:25" s="55" customFormat="1" ht="114.75" outlineLevel="1">
      <c r="B586" s="52" t="s">
        <v>1323</v>
      </c>
      <c r="C586" s="78" t="s">
        <v>246</v>
      </c>
      <c r="D586" s="128" t="s">
        <v>265</v>
      </c>
      <c r="E586" s="56" t="s">
        <v>138</v>
      </c>
      <c r="F586" s="56" t="s">
        <v>1444</v>
      </c>
      <c r="G586" s="56"/>
      <c r="H586" s="52" t="s">
        <v>243</v>
      </c>
      <c r="I586" s="52">
        <v>10</v>
      </c>
      <c r="J586" s="52">
        <v>390000000</v>
      </c>
      <c r="K586" s="56" t="s">
        <v>121</v>
      </c>
      <c r="L586" s="52" t="s">
        <v>1503</v>
      </c>
      <c r="M586" s="56" t="s">
        <v>121</v>
      </c>
      <c r="N586" s="52" t="s">
        <v>241</v>
      </c>
      <c r="O586" s="53" t="s">
        <v>1978</v>
      </c>
      <c r="P586" s="53" t="s">
        <v>1538</v>
      </c>
      <c r="Q586" s="52">
        <v>796</v>
      </c>
      <c r="R586" s="52" t="s">
        <v>1818</v>
      </c>
      <c r="S586" s="54">
        <v>11</v>
      </c>
      <c r="T586" s="54">
        <f t="shared" si="39"/>
        <v>141.44736842105263</v>
      </c>
      <c r="U586" s="54">
        <f t="shared" si="40"/>
        <v>1583.7053571428571</v>
      </c>
      <c r="V586" s="54">
        <v>1773.75</v>
      </c>
      <c r="W586" s="52"/>
      <c r="X586" s="52">
        <v>2012</v>
      </c>
      <c r="Y586" s="52"/>
    </row>
    <row r="587" spans="2:25" s="55" customFormat="1" ht="114.75" outlineLevel="1">
      <c r="B587" s="52" t="s">
        <v>1324</v>
      </c>
      <c r="C587" s="78" t="s">
        <v>246</v>
      </c>
      <c r="D587" s="128" t="s">
        <v>265</v>
      </c>
      <c r="E587" s="56" t="s">
        <v>139</v>
      </c>
      <c r="F587" s="56" t="s">
        <v>1445</v>
      </c>
      <c r="G587" s="56"/>
      <c r="H587" s="52" t="s">
        <v>243</v>
      </c>
      <c r="I587" s="52">
        <v>10</v>
      </c>
      <c r="J587" s="52">
        <v>390000000</v>
      </c>
      <c r="K587" s="56" t="s">
        <v>121</v>
      </c>
      <c r="L587" s="52" t="s">
        <v>1503</v>
      </c>
      <c r="M587" s="56" t="s">
        <v>121</v>
      </c>
      <c r="N587" s="52" t="s">
        <v>241</v>
      </c>
      <c r="O587" s="53" t="s">
        <v>1978</v>
      </c>
      <c r="P587" s="53" t="s">
        <v>1538</v>
      </c>
      <c r="Q587" s="52">
        <v>796</v>
      </c>
      <c r="R587" s="52" t="s">
        <v>1818</v>
      </c>
      <c r="S587" s="54">
        <v>66</v>
      </c>
      <c r="T587" s="54">
        <f t="shared" si="39"/>
        <v>99.01315789473685</v>
      </c>
      <c r="U587" s="54">
        <f t="shared" si="40"/>
        <v>6651.5625</v>
      </c>
      <c r="V587" s="54">
        <v>7449.75</v>
      </c>
      <c r="W587" s="52"/>
      <c r="X587" s="52">
        <v>2012</v>
      </c>
      <c r="Y587" s="52"/>
    </row>
    <row r="588" spans="2:25" s="55" customFormat="1" ht="114.75" outlineLevel="1">
      <c r="B588" s="52" t="s">
        <v>1325</v>
      </c>
      <c r="C588" s="78" t="s">
        <v>246</v>
      </c>
      <c r="D588" s="128" t="s">
        <v>265</v>
      </c>
      <c r="E588" s="56" t="s">
        <v>140</v>
      </c>
      <c r="F588" s="57" t="s">
        <v>1446</v>
      </c>
      <c r="G588" s="57"/>
      <c r="H588" s="52" t="s">
        <v>243</v>
      </c>
      <c r="I588" s="52">
        <v>10</v>
      </c>
      <c r="J588" s="52">
        <v>390000000</v>
      </c>
      <c r="K588" s="56" t="s">
        <v>121</v>
      </c>
      <c r="L588" s="52" t="s">
        <v>1503</v>
      </c>
      <c r="M588" s="56" t="s">
        <v>121</v>
      </c>
      <c r="N588" s="52" t="s">
        <v>241</v>
      </c>
      <c r="O588" s="53" t="s">
        <v>1978</v>
      </c>
      <c r="P588" s="53" t="s">
        <v>1538</v>
      </c>
      <c r="Q588" s="52">
        <v>796</v>
      </c>
      <c r="R588" s="52" t="s">
        <v>1818</v>
      </c>
      <c r="S588" s="54">
        <v>66</v>
      </c>
      <c r="T588" s="54">
        <f t="shared" si="39"/>
        <v>84.868421052631575</v>
      </c>
      <c r="U588" s="54">
        <f t="shared" si="40"/>
        <v>5701.3392857142853</v>
      </c>
      <c r="V588" s="54">
        <v>6385.5</v>
      </c>
      <c r="W588" s="52"/>
      <c r="X588" s="52">
        <v>2012</v>
      </c>
      <c r="Y588" s="52"/>
    </row>
    <row r="589" spans="2:25" s="55" customFormat="1" ht="114.75" outlineLevel="1">
      <c r="B589" s="52" t="s">
        <v>1326</v>
      </c>
      <c r="C589" s="78" t="s">
        <v>246</v>
      </c>
      <c r="D589" s="56" t="s">
        <v>265</v>
      </c>
      <c r="E589" s="56" t="s">
        <v>141</v>
      </c>
      <c r="F589" s="57" t="s">
        <v>1447</v>
      </c>
      <c r="G589" s="57"/>
      <c r="H589" s="52" t="s">
        <v>243</v>
      </c>
      <c r="I589" s="52">
        <v>10</v>
      </c>
      <c r="J589" s="52">
        <v>390000000</v>
      </c>
      <c r="K589" s="56" t="s">
        <v>121</v>
      </c>
      <c r="L589" s="52" t="s">
        <v>1503</v>
      </c>
      <c r="M589" s="56" t="s">
        <v>121</v>
      </c>
      <c r="N589" s="52" t="s">
        <v>241</v>
      </c>
      <c r="O589" s="53" t="s">
        <v>1978</v>
      </c>
      <c r="P589" s="53" t="s">
        <v>1538</v>
      </c>
      <c r="Q589" s="52">
        <v>796</v>
      </c>
      <c r="R589" s="52" t="s">
        <v>1818</v>
      </c>
      <c r="S589" s="54">
        <v>22</v>
      </c>
      <c r="T589" s="54">
        <f t="shared" si="39"/>
        <v>471.49122807017551</v>
      </c>
      <c r="U589" s="54">
        <f t="shared" si="40"/>
        <v>10558.035714285714</v>
      </c>
      <c r="V589" s="54">
        <v>11825</v>
      </c>
      <c r="W589" s="52"/>
      <c r="X589" s="52">
        <v>2012</v>
      </c>
      <c r="Y589" s="52"/>
    </row>
    <row r="590" spans="2:25" s="55" customFormat="1" ht="114.75" outlineLevel="1">
      <c r="B590" s="52" t="s">
        <v>1327</v>
      </c>
      <c r="C590" s="78" t="s">
        <v>246</v>
      </c>
      <c r="D590" s="56" t="s">
        <v>265</v>
      </c>
      <c r="E590" s="56" t="s">
        <v>142</v>
      </c>
      <c r="F590" s="53" t="s">
        <v>1448</v>
      </c>
      <c r="G590" s="53"/>
      <c r="H590" s="52" t="s">
        <v>243</v>
      </c>
      <c r="I590" s="52">
        <v>10</v>
      </c>
      <c r="J590" s="52">
        <v>390000000</v>
      </c>
      <c r="K590" s="56" t="s">
        <v>121</v>
      </c>
      <c r="L590" s="52" t="s">
        <v>1503</v>
      </c>
      <c r="M590" s="56" t="s">
        <v>121</v>
      </c>
      <c r="N590" s="52" t="s">
        <v>241</v>
      </c>
      <c r="O590" s="53" t="s">
        <v>1978</v>
      </c>
      <c r="P590" s="53" t="s">
        <v>1538</v>
      </c>
      <c r="Q590" s="52">
        <v>796</v>
      </c>
      <c r="R590" s="52" t="s">
        <v>1818</v>
      </c>
      <c r="S590" s="54">
        <v>44</v>
      </c>
      <c r="T590" s="54">
        <f t="shared" si="39"/>
        <v>113.1578947368421</v>
      </c>
      <c r="U590" s="54">
        <f t="shared" si="40"/>
        <v>5067.8571428571431</v>
      </c>
      <c r="V590" s="54">
        <v>5676</v>
      </c>
      <c r="W590" s="52"/>
      <c r="X590" s="52">
        <v>2012</v>
      </c>
      <c r="Y590" s="52"/>
    </row>
    <row r="591" spans="2:25" s="55" customFormat="1" ht="114.75" outlineLevel="1">
      <c r="B591" s="52" t="s">
        <v>1328</v>
      </c>
      <c r="C591" s="78" t="s">
        <v>246</v>
      </c>
      <c r="D591" s="128" t="s">
        <v>265</v>
      </c>
      <c r="E591" s="56" t="s">
        <v>143</v>
      </c>
      <c r="F591" s="56" t="s">
        <v>1449</v>
      </c>
      <c r="G591" s="56"/>
      <c r="H591" s="52" t="s">
        <v>243</v>
      </c>
      <c r="I591" s="52">
        <v>10</v>
      </c>
      <c r="J591" s="52">
        <v>390000000</v>
      </c>
      <c r="K591" s="56" t="s">
        <v>121</v>
      </c>
      <c r="L591" s="52" t="s">
        <v>1503</v>
      </c>
      <c r="M591" s="56" t="s">
        <v>121</v>
      </c>
      <c r="N591" s="52" t="s">
        <v>241</v>
      </c>
      <c r="O591" s="53" t="s">
        <v>1978</v>
      </c>
      <c r="P591" s="53" t="s">
        <v>1538</v>
      </c>
      <c r="Q591" s="52">
        <v>796</v>
      </c>
      <c r="R591" s="52" t="s">
        <v>1818</v>
      </c>
      <c r="S591" s="54">
        <v>44</v>
      </c>
      <c r="T591" s="54">
        <f t="shared" si="39"/>
        <v>84.868421052631575</v>
      </c>
      <c r="U591" s="54">
        <f t="shared" si="40"/>
        <v>3800.8928571428569</v>
      </c>
      <c r="V591" s="54">
        <v>4257</v>
      </c>
      <c r="W591" s="52"/>
      <c r="X591" s="52">
        <v>2012</v>
      </c>
      <c r="Y591" s="52"/>
    </row>
    <row r="592" spans="2:25" s="55" customFormat="1" ht="114.75" outlineLevel="1">
      <c r="B592" s="52" t="s">
        <v>1329</v>
      </c>
      <c r="C592" s="78" t="s">
        <v>246</v>
      </c>
      <c r="D592" s="128" t="s">
        <v>265</v>
      </c>
      <c r="E592" s="56" t="s">
        <v>144</v>
      </c>
      <c r="F592" s="56" t="s">
        <v>1450</v>
      </c>
      <c r="G592" s="56"/>
      <c r="H592" s="52" t="s">
        <v>243</v>
      </c>
      <c r="I592" s="52">
        <v>10</v>
      </c>
      <c r="J592" s="52">
        <v>390000000</v>
      </c>
      <c r="K592" s="56" t="s">
        <v>121</v>
      </c>
      <c r="L592" s="52" t="s">
        <v>1503</v>
      </c>
      <c r="M592" s="56" t="s">
        <v>121</v>
      </c>
      <c r="N592" s="52" t="s">
        <v>241</v>
      </c>
      <c r="O592" s="53" t="s">
        <v>1978</v>
      </c>
      <c r="P592" s="53" t="s">
        <v>1538</v>
      </c>
      <c r="Q592" s="52">
        <v>796</v>
      </c>
      <c r="R592" s="52" t="s">
        <v>1818</v>
      </c>
      <c r="S592" s="54">
        <v>44</v>
      </c>
      <c r="T592" s="54">
        <f t="shared" si="39"/>
        <v>47.149122807017541</v>
      </c>
      <c r="U592" s="54">
        <f t="shared" si="40"/>
        <v>2111.6071428571427</v>
      </c>
      <c r="V592" s="54">
        <v>2365</v>
      </c>
      <c r="W592" s="52"/>
      <c r="X592" s="52">
        <v>2012</v>
      </c>
      <c r="Y592" s="52"/>
    </row>
    <row r="593" spans="2:25" s="55" customFormat="1" ht="114.75" outlineLevel="1">
      <c r="B593" s="52" t="s">
        <v>1657</v>
      </c>
      <c r="C593" s="78" t="s">
        <v>246</v>
      </c>
      <c r="D593" s="128" t="s">
        <v>265</v>
      </c>
      <c r="E593" s="56" t="s">
        <v>145</v>
      </c>
      <c r="F593" s="56" t="s">
        <v>1451</v>
      </c>
      <c r="G593" s="56"/>
      <c r="H593" s="52" t="s">
        <v>243</v>
      </c>
      <c r="I593" s="52">
        <v>10</v>
      </c>
      <c r="J593" s="52">
        <v>390000000</v>
      </c>
      <c r="K593" s="56" t="s">
        <v>121</v>
      </c>
      <c r="L593" s="52" t="s">
        <v>1503</v>
      </c>
      <c r="M593" s="56" t="s">
        <v>121</v>
      </c>
      <c r="N593" s="52" t="s">
        <v>241</v>
      </c>
      <c r="O593" s="53" t="s">
        <v>1978</v>
      </c>
      <c r="P593" s="53" t="s">
        <v>1538</v>
      </c>
      <c r="Q593" s="52">
        <v>796</v>
      </c>
      <c r="R593" s="52" t="s">
        <v>1818</v>
      </c>
      <c r="S593" s="54">
        <v>22</v>
      </c>
      <c r="T593" s="54">
        <f t="shared" si="39"/>
        <v>264.03508771929825</v>
      </c>
      <c r="U593" s="54">
        <f t="shared" si="40"/>
        <v>5912.5</v>
      </c>
      <c r="V593" s="54">
        <v>6622</v>
      </c>
      <c r="W593" s="52"/>
      <c r="X593" s="52">
        <v>2012</v>
      </c>
      <c r="Y593" s="52"/>
    </row>
    <row r="594" spans="2:25" s="55" customFormat="1" ht="114.75" outlineLevel="1">
      <c r="B594" s="52" t="s">
        <v>1330</v>
      </c>
      <c r="C594" s="78" t="s">
        <v>246</v>
      </c>
      <c r="D594" s="128" t="s">
        <v>265</v>
      </c>
      <c r="E594" s="56" t="s">
        <v>146</v>
      </c>
      <c r="F594" s="57" t="s">
        <v>1452</v>
      </c>
      <c r="G594" s="57"/>
      <c r="H594" s="52" t="s">
        <v>243</v>
      </c>
      <c r="I594" s="52">
        <v>10</v>
      </c>
      <c r="J594" s="52">
        <v>390000000</v>
      </c>
      <c r="K594" s="56" t="s">
        <v>121</v>
      </c>
      <c r="L594" s="52" t="s">
        <v>1503</v>
      </c>
      <c r="M594" s="56" t="s">
        <v>121</v>
      </c>
      <c r="N594" s="52" t="s">
        <v>241</v>
      </c>
      <c r="O594" s="53" t="s">
        <v>1978</v>
      </c>
      <c r="P594" s="53" t="s">
        <v>1538</v>
      </c>
      <c r="Q594" s="52">
        <v>796</v>
      </c>
      <c r="R594" s="52" t="s">
        <v>1818</v>
      </c>
      <c r="S594" s="54">
        <v>2.2000000000000002</v>
      </c>
      <c r="T594" s="54">
        <f t="shared" si="39"/>
        <v>2357.4561403508778</v>
      </c>
      <c r="U594" s="54">
        <f t="shared" si="40"/>
        <v>5279.0178571428578</v>
      </c>
      <c r="V594" s="54">
        <v>5912.5000000000009</v>
      </c>
      <c r="W594" s="52"/>
      <c r="X594" s="52">
        <v>2012</v>
      </c>
      <c r="Y594" s="52"/>
    </row>
    <row r="595" spans="2:25" s="55" customFormat="1" ht="114.75" outlineLevel="1">
      <c r="B595" s="52" t="s">
        <v>1331</v>
      </c>
      <c r="C595" s="78" t="s">
        <v>246</v>
      </c>
      <c r="D595" s="128" t="s">
        <v>265</v>
      </c>
      <c r="E595" s="56" t="s">
        <v>147</v>
      </c>
      <c r="F595" s="53" t="s">
        <v>1454</v>
      </c>
      <c r="G595" s="53"/>
      <c r="H595" s="52" t="s">
        <v>243</v>
      </c>
      <c r="I595" s="52">
        <v>10</v>
      </c>
      <c r="J595" s="52">
        <v>390000000</v>
      </c>
      <c r="K595" s="56" t="s">
        <v>121</v>
      </c>
      <c r="L595" s="52" t="s">
        <v>1503</v>
      </c>
      <c r="M595" s="56" t="s">
        <v>121</v>
      </c>
      <c r="N595" s="52" t="s">
        <v>241</v>
      </c>
      <c r="O595" s="53" t="s">
        <v>1978</v>
      </c>
      <c r="P595" s="53" t="s">
        <v>1538</v>
      </c>
      <c r="Q595" s="52">
        <v>796</v>
      </c>
      <c r="R595" s="52" t="s">
        <v>1818</v>
      </c>
      <c r="S595" s="54">
        <v>264</v>
      </c>
      <c r="T595" s="54">
        <f t="shared" si="39"/>
        <v>28.289473684210527</v>
      </c>
      <c r="U595" s="54">
        <f t="shared" si="40"/>
        <v>7601.7857142857138</v>
      </c>
      <c r="V595" s="54">
        <v>8514</v>
      </c>
      <c r="W595" s="52"/>
      <c r="X595" s="52">
        <v>2012</v>
      </c>
      <c r="Y595" s="52"/>
    </row>
    <row r="596" spans="2:25" s="55" customFormat="1" ht="114.75" outlineLevel="1">
      <c r="B596" s="52" t="s">
        <v>1332</v>
      </c>
      <c r="C596" s="78" t="s">
        <v>246</v>
      </c>
      <c r="D596" s="128" t="s">
        <v>265</v>
      </c>
      <c r="E596" s="56" t="s">
        <v>148</v>
      </c>
      <c r="F596" s="57" t="s">
        <v>148</v>
      </c>
      <c r="G596" s="57"/>
      <c r="H596" s="52" t="s">
        <v>243</v>
      </c>
      <c r="I596" s="52">
        <v>10</v>
      </c>
      <c r="J596" s="52">
        <v>390000000</v>
      </c>
      <c r="K596" s="56" t="s">
        <v>121</v>
      </c>
      <c r="L596" s="52" t="s">
        <v>1503</v>
      </c>
      <c r="M596" s="56" t="s">
        <v>121</v>
      </c>
      <c r="N596" s="52" t="s">
        <v>241</v>
      </c>
      <c r="O596" s="53" t="s">
        <v>1978</v>
      </c>
      <c r="P596" s="53" t="s">
        <v>1538</v>
      </c>
      <c r="Q596" s="52">
        <v>796</v>
      </c>
      <c r="R596" s="52" t="s">
        <v>1818</v>
      </c>
      <c r="S596" s="54">
        <v>11</v>
      </c>
      <c r="T596" s="54">
        <f t="shared" si="39"/>
        <v>631.79824561403518</v>
      </c>
      <c r="U596" s="54">
        <f t="shared" si="40"/>
        <v>7073.8839285714294</v>
      </c>
      <c r="V596" s="54">
        <v>7922.75</v>
      </c>
      <c r="W596" s="52"/>
      <c r="X596" s="52">
        <v>2012</v>
      </c>
      <c r="Y596" s="52"/>
    </row>
    <row r="597" spans="2:25" s="55" customFormat="1" ht="114.75" outlineLevel="1">
      <c r="B597" s="52" t="s">
        <v>1333</v>
      </c>
      <c r="C597" s="78" t="s">
        <v>246</v>
      </c>
      <c r="D597" s="128" t="s">
        <v>265</v>
      </c>
      <c r="E597" s="56" t="s">
        <v>149</v>
      </c>
      <c r="F597" s="57" t="s">
        <v>1453</v>
      </c>
      <c r="G597" s="57"/>
      <c r="H597" s="52" t="s">
        <v>243</v>
      </c>
      <c r="I597" s="52">
        <v>10</v>
      </c>
      <c r="J597" s="52">
        <v>390000000</v>
      </c>
      <c r="K597" s="56" t="s">
        <v>121</v>
      </c>
      <c r="L597" s="52" t="s">
        <v>1503</v>
      </c>
      <c r="M597" s="56" t="s">
        <v>121</v>
      </c>
      <c r="N597" s="52" t="s">
        <v>241</v>
      </c>
      <c r="O597" s="53" t="s">
        <v>1978</v>
      </c>
      <c r="P597" s="53" t="s">
        <v>1538</v>
      </c>
      <c r="Q597" s="52">
        <v>796</v>
      </c>
      <c r="R597" s="52" t="s">
        <v>1818</v>
      </c>
      <c r="S597" s="54">
        <v>132</v>
      </c>
      <c r="T597" s="54">
        <f t="shared" si="39"/>
        <v>28.289473684210527</v>
      </c>
      <c r="U597" s="54">
        <f t="shared" si="40"/>
        <v>3800.8928571428569</v>
      </c>
      <c r="V597" s="54">
        <v>4257</v>
      </c>
      <c r="W597" s="52"/>
      <c r="X597" s="52">
        <v>2012</v>
      </c>
      <c r="Y597" s="52"/>
    </row>
    <row r="598" spans="2:25" s="55" customFormat="1" ht="165.75" outlineLevel="1">
      <c r="B598" s="52" t="s">
        <v>1334</v>
      </c>
      <c r="C598" s="78" t="s">
        <v>246</v>
      </c>
      <c r="D598" s="77">
        <v>27015</v>
      </c>
      <c r="E598" s="56" t="s">
        <v>2325</v>
      </c>
      <c r="F598" s="56" t="s">
        <v>2324</v>
      </c>
      <c r="G598" s="56"/>
      <c r="H598" s="52" t="s">
        <v>243</v>
      </c>
      <c r="I598" s="52">
        <v>10</v>
      </c>
      <c r="J598" s="52">
        <v>470000000</v>
      </c>
      <c r="K598" s="56" t="s">
        <v>123</v>
      </c>
      <c r="L598" s="52" t="s">
        <v>1503</v>
      </c>
      <c r="M598" s="56" t="s">
        <v>123</v>
      </c>
      <c r="N598" s="52" t="s">
        <v>241</v>
      </c>
      <c r="O598" s="53" t="s">
        <v>1978</v>
      </c>
      <c r="P598" s="53" t="s">
        <v>1538</v>
      </c>
      <c r="Q598" s="52">
        <v>5111</v>
      </c>
      <c r="R598" s="52" t="s">
        <v>1434</v>
      </c>
      <c r="S598" s="54">
        <v>0</v>
      </c>
      <c r="T598" s="54">
        <v>566</v>
      </c>
      <c r="U598" s="54">
        <v>0</v>
      </c>
      <c r="V598" s="54">
        <v>0</v>
      </c>
      <c r="W598" s="52"/>
      <c r="X598" s="52">
        <v>2012</v>
      </c>
      <c r="Y598" s="52" t="s">
        <v>2506</v>
      </c>
    </row>
    <row r="599" spans="2:25" s="55" customFormat="1" ht="165.75" outlineLevel="1">
      <c r="B599" s="52" t="s">
        <v>2501</v>
      </c>
      <c r="C599" s="78" t="s">
        <v>246</v>
      </c>
      <c r="D599" s="77">
        <v>27015</v>
      </c>
      <c r="E599" s="56" t="s">
        <v>2325</v>
      </c>
      <c r="F599" s="56" t="s">
        <v>2324</v>
      </c>
      <c r="G599" s="56"/>
      <c r="H599" s="52" t="s">
        <v>243</v>
      </c>
      <c r="I599" s="52">
        <v>10</v>
      </c>
      <c r="J599" s="52">
        <v>470000000</v>
      </c>
      <c r="K599" s="56" t="s">
        <v>123</v>
      </c>
      <c r="L599" s="52" t="s">
        <v>1503</v>
      </c>
      <c r="M599" s="56" t="s">
        <v>123</v>
      </c>
      <c r="N599" s="52" t="s">
        <v>241</v>
      </c>
      <c r="O599" s="53" t="s">
        <v>1978</v>
      </c>
      <c r="P599" s="53" t="s">
        <v>1538</v>
      </c>
      <c r="Q599" s="52">
        <v>5111</v>
      </c>
      <c r="R599" s="52" t="s">
        <v>1434</v>
      </c>
      <c r="S599" s="54">
        <v>296</v>
      </c>
      <c r="T599" s="54">
        <v>566</v>
      </c>
      <c r="U599" s="54">
        <f t="shared" ref="U599" si="41">V599/112*100</f>
        <v>169750</v>
      </c>
      <c r="V599" s="54">
        <v>190120</v>
      </c>
      <c r="W599" s="52"/>
      <c r="X599" s="52">
        <v>2012</v>
      </c>
      <c r="Y599" s="52"/>
    </row>
    <row r="600" spans="2:25" s="55" customFormat="1" ht="114.75" outlineLevel="1">
      <c r="B600" s="52" t="s">
        <v>1335</v>
      </c>
      <c r="C600" s="78" t="s">
        <v>246</v>
      </c>
      <c r="D600" s="56" t="s">
        <v>263</v>
      </c>
      <c r="E600" s="56" t="s">
        <v>130</v>
      </c>
      <c r="F600" s="56" t="s">
        <v>1438</v>
      </c>
      <c r="G600" s="56"/>
      <c r="H600" s="52" t="s">
        <v>243</v>
      </c>
      <c r="I600" s="52">
        <v>10</v>
      </c>
      <c r="J600" s="52">
        <v>470000000</v>
      </c>
      <c r="K600" s="56" t="s">
        <v>123</v>
      </c>
      <c r="L600" s="52" t="s">
        <v>1503</v>
      </c>
      <c r="M600" s="56" t="s">
        <v>123</v>
      </c>
      <c r="N600" s="52" t="s">
        <v>241</v>
      </c>
      <c r="O600" s="53" t="s">
        <v>1978</v>
      </c>
      <c r="P600" s="53" t="s">
        <v>1538</v>
      </c>
      <c r="Q600" s="52">
        <v>736</v>
      </c>
      <c r="R600" s="52" t="s">
        <v>1435</v>
      </c>
      <c r="S600" s="54">
        <v>18</v>
      </c>
      <c r="T600" s="54">
        <f t="shared" si="39"/>
        <v>216.88596491228071</v>
      </c>
      <c r="U600" s="54">
        <f t="shared" si="40"/>
        <v>3973.6607142857147</v>
      </c>
      <c r="V600" s="54">
        <v>4450.5</v>
      </c>
      <c r="W600" s="52"/>
      <c r="X600" s="52">
        <v>2012</v>
      </c>
      <c r="Y600" s="52"/>
    </row>
    <row r="601" spans="2:25" s="55" customFormat="1" ht="114.75" outlineLevel="1">
      <c r="B601" s="52" t="s">
        <v>1336</v>
      </c>
      <c r="C601" s="78" t="s">
        <v>246</v>
      </c>
      <c r="D601" s="128" t="s">
        <v>265</v>
      </c>
      <c r="E601" s="56" t="s">
        <v>131</v>
      </c>
      <c r="F601" s="53" t="s">
        <v>1456</v>
      </c>
      <c r="G601" s="53"/>
      <c r="H601" s="52" t="s">
        <v>243</v>
      </c>
      <c r="I601" s="52">
        <v>10</v>
      </c>
      <c r="J601" s="52">
        <v>470000000</v>
      </c>
      <c r="K601" s="56" t="s">
        <v>123</v>
      </c>
      <c r="L601" s="52" t="s">
        <v>1503</v>
      </c>
      <c r="M601" s="56" t="s">
        <v>123</v>
      </c>
      <c r="N601" s="52" t="s">
        <v>241</v>
      </c>
      <c r="O601" s="53" t="s">
        <v>1978</v>
      </c>
      <c r="P601" s="53" t="s">
        <v>1538</v>
      </c>
      <c r="Q601" s="52">
        <v>796</v>
      </c>
      <c r="R601" s="52" t="s">
        <v>1818</v>
      </c>
      <c r="S601" s="54">
        <v>0</v>
      </c>
      <c r="T601" s="54">
        <v>104</v>
      </c>
      <c r="U601" s="54">
        <v>0</v>
      </c>
      <c r="V601" s="54">
        <v>0</v>
      </c>
      <c r="W601" s="52"/>
      <c r="X601" s="52">
        <v>2012</v>
      </c>
      <c r="Y601" s="52" t="s">
        <v>2506</v>
      </c>
    </row>
    <row r="602" spans="2:25" s="55" customFormat="1" ht="114.75" outlineLevel="1">
      <c r="B602" s="52" t="s">
        <v>2503</v>
      </c>
      <c r="C602" s="78" t="s">
        <v>246</v>
      </c>
      <c r="D602" s="128" t="s">
        <v>265</v>
      </c>
      <c r="E602" s="56" t="s">
        <v>131</v>
      </c>
      <c r="F602" s="53" t="s">
        <v>1456</v>
      </c>
      <c r="G602" s="53"/>
      <c r="H602" s="52" t="s">
        <v>243</v>
      </c>
      <c r="I602" s="52">
        <v>10</v>
      </c>
      <c r="J602" s="52">
        <v>470000000</v>
      </c>
      <c r="K602" s="56" t="s">
        <v>123</v>
      </c>
      <c r="L602" s="52" t="s">
        <v>1503</v>
      </c>
      <c r="M602" s="56" t="s">
        <v>123</v>
      </c>
      <c r="N602" s="52" t="s">
        <v>241</v>
      </c>
      <c r="O602" s="53" t="s">
        <v>1978</v>
      </c>
      <c r="P602" s="53" t="s">
        <v>1538</v>
      </c>
      <c r="Q602" s="52">
        <v>796</v>
      </c>
      <c r="R602" s="52" t="s">
        <v>1818</v>
      </c>
      <c r="S602" s="54">
        <v>48</v>
      </c>
      <c r="T602" s="54">
        <v>104</v>
      </c>
      <c r="U602" s="54">
        <f t="shared" ref="U602" si="42">V602/112*100</f>
        <v>5033.0357142857147</v>
      </c>
      <c r="V602" s="54">
        <v>5637</v>
      </c>
      <c r="W602" s="52"/>
      <c r="X602" s="52">
        <v>2012</v>
      </c>
      <c r="Y602" s="52"/>
    </row>
    <row r="603" spans="2:25" s="55" customFormat="1" ht="114.75" outlineLevel="1">
      <c r="B603" s="52" t="s">
        <v>1337</v>
      </c>
      <c r="C603" s="78" t="s">
        <v>246</v>
      </c>
      <c r="D603" s="128" t="s">
        <v>265</v>
      </c>
      <c r="E603" s="56" t="s">
        <v>132</v>
      </c>
      <c r="F603" s="56" t="s">
        <v>1439</v>
      </c>
      <c r="G603" s="56"/>
      <c r="H603" s="52" t="s">
        <v>243</v>
      </c>
      <c r="I603" s="52">
        <v>10</v>
      </c>
      <c r="J603" s="52">
        <v>470000000</v>
      </c>
      <c r="K603" s="56" t="s">
        <v>123</v>
      </c>
      <c r="L603" s="52" t="s">
        <v>1503</v>
      </c>
      <c r="M603" s="56" t="s">
        <v>123</v>
      </c>
      <c r="N603" s="52" t="s">
        <v>241</v>
      </c>
      <c r="O603" s="53" t="s">
        <v>1978</v>
      </c>
      <c r="P603" s="53" t="s">
        <v>1538</v>
      </c>
      <c r="Q603" s="52">
        <v>796</v>
      </c>
      <c r="R603" s="52" t="s">
        <v>1818</v>
      </c>
      <c r="S603" s="54">
        <v>0</v>
      </c>
      <c r="T603" s="54">
        <v>141</v>
      </c>
      <c r="U603" s="54">
        <v>0</v>
      </c>
      <c r="V603" s="54">
        <v>0</v>
      </c>
      <c r="W603" s="52"/>
      <c r="X603" s="52">
        <v>2012</v>
      </c>
      <c r="Y603" s="52" t="s">
        <v>2506</v>
      </c>
    </row>
    <row r="604" spans="2:25" s="55" customFormat="1" ht="114.75" outlineLevel="1">
      <c r="B604" s="52" t="s">
        <v>2504</v>
      </c>
      <c r="C604" s="78" t="s">
        <v>246</v>
      </c>
      <c r="D604" s="128" t="s">
        <v>265</v>
      </c>
      <c r="E604" s="56" t="s">
        <v>132</v>
      </c>
      <c r="F604" s="56" t="s">
        <v>1439</v>
      </c>
      <c r="G604" s="56"/>
      <c r="H604" s="52" t="s">
        <v>243</v>
      </c>
      <c r="I604" s="52">
        <v>10</v>
      </c>
      <c r="J604" s="52">
        <v>470000000</v>
      </c>
      <c r="K604" s="56" t="s">
        <v>123</v>
      </c>
      <c r="L604" s="52" t="s">
        <v>1503</v>
      </c>
      <c r="M604" s="56" t="s">
        <v>123</v>
      </c>
      <c r="N604" s="52" t="s">
        <v>241</v>
      </c>
      <c r="O604" s="53" t="s">
        <v>1978</v>
      </c>
      <c r="P604" s="53" t="s">
        <v>1538</v>
      </c>
      <c r="Q604" s="52">
        <v>796</v>
      </c>
      <c r="R604" s="52" t="s">
        <v>1818</v>
      </c>
      <c r="S604" s="54">
        <v>56</v>
      </c>
      <c r="T604" s="54">
        <v>141</v>
      </c>
      <c r="U604" s="54">
        <f t="shared" ref="U604" si="43">V604/112*100</f>
        <v>7986.6071428571431</v>
      </c>
      <c r="V604" s="54">
        <v>8945</v>
      </c>
      <c r="W604" s="52"/>
      <c r="X604" s="52">
        <v>2012</v>
      </c>
      <c r="Y604" s="52"/>
    </row>
    <row r="605" spans="2:25" s="55" customFormat="1" ht="114.75" outlineLevel="1">
      <c r="B605" s="52" t="s">
        <v>1338</v>
      </c>
      <c r="C605" s="78" t="s">
        <v>246</v>
      </c>
      <c r="D605" s="128" t="s">
        <v>265</v>
      </c>
      <c r="E605" s="56" t="s">
        <v>133</v>
      </c>
      <c r="F605" s="56" t="s">
        <v>1440</v>
      </c>
      <c r="G605" s="56"/>
      <c r="H605" s="52" t="s">
        <v>243</v>
      </c>
      <c r="I605" s="52">
        <v>10</v>
      </c>
      <c r="J605" s="52">
        <v>470000000</v>
      </c>
      <c r="K605" s="56" t="s">
        <v>123</v>
      </c>
      <c r="L605" s="52" t="s">
        <v>1503</v>
      </c>
      <c r="M605" s="56" t="s">
        <v>123</v>
      </c>
      <c r="N605" s="52" t="s">
        <v>241</v>
      </c>
      <c r="O605" s="53" t="s">
        <v>1978</v>
      </c>
      <c r="P605" s="53" t="s">
        <v>1538</v>
      </c>
      <c r="Q605" s="52">
        <v>796</v>
      </c>
      <c r="R605" s="52" t="s">
        <v>1818</v>
      </c>
      <c r="S605" s="54">
        <v>0</v>
      </c>
      <c r="T605" s="54">
        <v>90</v>
      </c>
      <c r="U605" s="54">
        <v>0</v>
      </c>
      <c r="V605" s="54">
        <v>0</v>
      </c>
      <c r="W605" s="52"/>
      <c r="X605" s="52">
        <v>2012</v>
      </c>
      <c r="Y605" s="52" t="s">
        <v>2506</v>
      </c>
    </row>
    <row r="606" spans="2:25" s="55" customFormat="1" ht="114.75" outlineLevel="1">
      <c r="B606" s="52" t="s">
        <v>2505</v>
      </c>
      <c r="C606" s="78" t="s">
        <v>246</v>
      </c>
      <c r="D606" s="128" t="s">
        <v>265</v>
      </c>
      <c r="E606" s="56" t="s">
        <v>133</v>
      </c>
      <c r="F606" s="56" t="s">
        <v>1440</v>
      </c>
      <c r="G606" s="56"/>
      <c r="H606" s="52" t="s">
        <v>243</v>
      </c>
      <c r="I606" s="52">
        <v>10</v>
      </c>
      <c r="J606" s="52">
        <v>470000000</v>
      </c>
      <c r="K606" s="56" t="s">
        <v>123</v>
      </c>
      <c r="L606" s="52" t="s">
        <v>1503</v>
      </c>
      <c r="M606" s="56" t="s">
        <v>123</v>
      </c>
      <c r="N606" s="52" t="s">
        <v>241</v>
      </c>
      <c r="O606" s="53" t="s">
        <v>1978</v>
      </c>
      <c r="P606" s="53" t="s">
        <v>1538</v>
      </c>
      <c r="Q606" s="52">
        <v>796</v>
      </c>
      <c r="R606" s="52" t="s">
        <v>1818</v>
      </c>
      <c r="S606" s="54">
        <v>56</v>
      </c>
      <c r="T606" s="54">
        <v>90</v>
      </c>
      <c r="U606" s="54">
        <f t="shared" ref="U606:U607" si="44">V606/112*100</f>
        <v>5068.3035714285716</v>
      </c>
      <c r="V606" s="54">
        <v>5676.5</v>
      </c>
      <c r="W606" s="52"/>
      <c r="X606" s="52">
        <v>2012</v>
      </c>
      <c r="Y606" s="52"/>
    </row>
    <row r="607" spans="2:25" s="55" customFormat="1" ht="114.75" outlineLevel="1">
      <c r="B607" s="52" t="s">
        <v>1339</v>
      </c>
      <c r="C607" s="78" t="s">
        <v>246</v>
      </c>
      <c r="D607" s="128" t="s">
        <v>265</v>
      </c>
      <c r="E607" s="56" t="s">
        <v>134</v>
      </c>
      <c r="F607" s="53" t="s">
        <v>1455</v>
      </c>
      <c r="G607" s="53"/>
      <c r="H607" s="52" t="s">
        <v>243</v>
      </c>
      <c r="I607" s="52">
        <v>10</v>
      </c>
      <c r="J607" s="52">
        <v>470000000</v>
      </c>
      <c r="K607" s="56" t="s">
        <v>123</v>
      </c>
      <c r="L607" s="52" t="s">
        <v>1503</v>
      </c>
      <c r="M607" s="56" t="s">
        <v>123</v>
      </c>
      <c r="N607" s="52" t="s">
        <v>241</v>
      </c>
      <c r="O607" s="53" t="s">
        <v>1978</v>
      </c>
      <c r="P607" s="53" t="s">
        <v>1538</v>
      </c>
      <c r="Q607" s="52">
        <v>704</v>
      </c>
      <c r="R607" s="52" t="s">
        <v>1436</v>
      </c>
      <c r="S607" s="54">
        <v>0</v>
      </c>
      <c r="T607" s="54">
        <v>1132</v>
      </c>
      <c r="U607" s="54">
        <f t="shared" si="44"/>
        <v>0</v>
      </c>
      <c r="V607" s="54">
        <v>0</v>
      </c>
      <c r="W607" s="52"/>
      <c r="X607" s="52">
        <v>2012</v>
      </c>
      <c r="Y607" s="52" t="s">
        <v>2506</v>
      </c>
    </row>
    <row r="608" spans="2:25" s="55" customFormat="1" ht="114.75" outlineLevel="1">
      <c r="B608" s="52" t="s">
        <v>2507</v>
      </c>
      <c r="C608" s="78" t="s">
        <v>246</v>
      </c>
      <c r="D608" s="128" t="s">
        <v>265</v>
      </c>
      <c r="E608" s="56" t="s">
        <v>134</v>
      </c>
      <c r="F608" s="53" t="s">
        <v>1455</v>
      </c>
      <c r="G608" s="53"/>
      <c r="H608" s="52" t="s">
        <v>243</v>
      </c>
      <c r="I608" s="52">
        <v>10</v>
      </c>
      <c r="J608" s="52">
        <v>470000000</v>
      </c>
      <c r="K608" s="56" t="s">
        <v>123</v>
      </c>
      <c r="L608" s="52" t="s">
        <v>1503</v>
      </c>
      <c r="M608" s="56" t="s">
        <v>123</v>
      </c>
      <c r="N608" s="52" t="s">
        <v>241</v>
      </c>
      <c r="O608" s="53" t="s">
        <v>1978</v>
      </c>
      <c r="P608" s="53" t="s">
        <v>1538</v>
      </c>
      <c r="Q608" s="52">
        <v>704</v>
      </c>
      <c r="R608" s="52" t="s">
        <v>1436</v>
      </c>
      <c r="S608" s="54">
        <v>14</v>
      </c>
      <c r="T608" s="54">
        <v>1132</v>
      </c>
      <c r="U608" s="54">
        <f t="shared" si="40"/>
        <v>16013.392857142859</v>
      </c>
      <c r="V608" s="54">
        <v>17935</v>
      </c>
      <c r="W608" s="52"/>
      <c r="X608" s="52">
        <v>2012</v>
      </c>
      <c r="Y608" s="52"/>
    </row>
    <row r="609" spans="2:25" s="55" customFormat="1" ht="114.75" outlineLevel="1">
      <c r="B609" s="52" t="s">
        <v>1340</v>
      </c>
      <c r="C609" s="78" t="s">
        <v>246</v>
      </c>
      <c r="D609" s="128" t="s">
        <v>265</v>
      </c>
      <c r="E609" s="56" t="s">
        <v>135</v>
      </c>
      <c r="F609" s="56" t="s">
        <v>1441</v>
      </c>
      <c r="G609" s="56"/>
      <c r="H609" s="52" t="s">
        <v>243</v>
      </c>
      <c r="I609" s="52">
        <v>10</v>
      </c>
      <c r="J609" s="52">
        <v>470000000</v>
      </c>
      <c r="K609" s="56" t="s">
        <v>123</v>
      </c>
      <c r="L609" s="52" t="s">
        <v>1503</v>
      </c>
      <c r="M609" s="56" t="s">
        <v>123</v>
      </c>
      <c r="N609" s="52" t="s">
        <v>241</v>
      </c>
      <c r="O609" s="53" t="s">
        <v>1978</v>
      </c>
      <c r="P609" s="53" t="s">
        <v>1538</v>
      </c>
      <c r="Q609" s="52">
        <v>796</v>
      </c>
      <c r="R609" s="52" t="s">
        <v>1818</v>
      </c>
      <c r="S609" s="54">
        <v>0</v>
      </c>
      <c r="T609" s="54">
        <v>9</v>
      </c>
      <c r="U609" s="54">
        <v>0</v>
      </c>
      <c r="V609" s="54">
        <v>0</v>
      </c>
      <c r="W609" s="52"/>
      <c r="X609" s="52">
        <v>2012</v>
      </c>
      <c r="Y609" s="52" t="s">
        <v>2506</v>
      </c>
    </row>
    <row r="610" spans="2:25" s="55" customFormat="1" ht="114.75" outlineLevel="1">
      <c r="B610" s="52" t="s">
        <v>2508</v>
      </c>
      <c r="C610" s="78" t="s">
        <v>246</v>
      </c>
      <c r="D610" s="128" t="s">
        <v>265</v>
      </c>
      <c r="E610" s="56" t="s">
        <v>135</v>
      </c>
      <c r="F610" s="56" t="s">
        <v>1441</v>
      </c>
      <c r="G610" s="56"/>
      <c r="H610" s="52" t="s">
        <v>243</v>
      </c>
      <c r="I610" s="52">
        <v>10</v>
      </c>
      <c r="J610" s="52">
        <v>470000000</v>
      </c>
      <c r="K610" s="56" t="s">
        <v>123</v>
      </c>
      <c r="L610" s="52" t="s">
        <v>1503</v>
      </c>
      <c r="M610" s="56" t="s">
        <v>123</v>
      </c>
      <c r="N610" s="52" t="s">
        <v>241</v>
      </c>
      <c r="O610" s="53" t="s">
        <v>1978</v>
      </c>
      <c r="P610" s="53" t="s">
        <v>1538</v>
      </c>
      <c r="Q610" s="52">
        <v>796</v>
      </c>
      <c r="R610" s="52" t="s">
        <v>1818</v>
      </c>
      <c r="S610" s="54">
        <v>416</v>
      </c>
      <c r="T610" s="54">
        <v>9</v>
      </c>
      <c r="U610" s="54">
        <f t="shared" si="40"/>
        <v>4037.5</v>
      </c>
      <c r="V610" s="54">
        <v>4522</v>
      </c>
      <c r="W610" s="52"/>
      <c r="X610" s="52">
        <v>2012</v>
      </c>
      <c r="Y610" s="52"/>
    </row>
    <row r="611" spans="2:25" s="55" customFormat="1" ht="114.75" outlineLevel="1">
      <c r="B611" s="52" t="s">
        <v>1341</v>
      </c>
      <c r="C611" s="78" t="s">
        <v>246</v>
      </c>
      <c r="D611" s="128" t="s">
        <v>268</v>
      </c>
      <c r="E611" s="56" t="s">
        <v>136</v>
      </c>
      <c r="F611" s="56" t="s">
        <v>1442</v>
      </c>
      <c r="G611" s="56"/>
      <c r="H611" s="52" t="s">
        <v>243</v>
      </c>
      <c r="I611" s="52">
        <v>10</v>
      </c>
      <c r="J611" s="52">
        <v>470000000</v>
      </c>
      <c r="K611" s="56" t="s">
        <v>123</v>
      </c>
      <c r="L611" s="52" t="s">
        <v>1503</v>
      </c>
      <c r="M611" s="56" t="s">
        <v>123</v>
      </c>
      <c r="N611" s="52" t="s">
        <v>241</v>
      </c>
      <c r="O611" s="53" t="s">
        <v>1978</v>
      </c>
      <c r="P611" s="53" t="s">
        <v>1538</v>
      </c>
      <c r="Q611" s="52">
        <v>796</v>
      </c>
      <c r="R611" s="52" t="s">
        <v>1818</v>
      </c>
      <c r="S611" s="54">
        <v>0</v>
      </c>
      <c r="T611" s="54">
        <v>424</v>
      </c>
      <c r="U611" s="54">
        <v>0</v>
      </c>
      <c r="V611" s="54">
        <v>0</v>
      </c>
      <c r="W611" s="52"/>
      <c r="X611" s="52">
        <v>2012</v>
      </c>
      <c r="Y611" s="52" t="s">
        <v>2506</v>
      </c>
    </row>
    <row r="612" spans="2:25" s="55" customFormat="1" ht="114.75" outlineLevel="1">
      <c r="B612" s="52" t="s">
        <v>2509</v>
      </c>
      <c r="C612" s="78" t="s">
        <v>246</v>
      </c>
      <c r="D612" s="128" t="s">
        <v>268</v>
      </c>
      <c r="E612" s="56" t="s">
        <v>136</v>
      </c>
      <c r="F612" s="56" t="s">
        <v>1442</v>
      </c>
      <c r="G612" s="56"/>
      <c r="H612" s="52" t="s">
        <v>243</v>
      </c>
      <c r="I612" s="52">
        <v>10</v>
      </c>
      <c r="J612" s="52">
        <v>470000000</v>
      </c>
      <c r="K612" s="56" t="s">
        <v>123</v>
      </c>
      <c r="L612" s="52" t="s">
        <v>1503</v>
      </c>
      <c r="M612" s="56" t="s">
        <v>123</v>
      </c>
      <c r="N612" s="52" t="s">
        <v>241</v>
      </c>
      <c r="O612" s="53" t="s">
        <v>1978</v>
      </c>
      <c r="P612" s="53" t="s">
        <v>1538</v>
      </c>
      <c r="Q612" s="52">
        <v>796</v>
      </c>
      <c r="R612" s="52" t="s">
        <v>1818</v>
      </c>
      <c r="S612" s="54">
        <v>84</v>
      </c>
      <c r="T612" s="54">
        <v>424</v>
      </c>
      <c r="U612" s="54">
        <f t="shared" si="40"/>
        <v>36020.089285714283</v>
      </c>
      <c r="V612" s="54">
        <v>40342.5</v>
      </c>
      <c r="W612" s="52"/>
      <c r="X612" s="52">
        <v>2012</v>
      </c>
      <c r="Y612" s="52"/>
    </row>
    <row r="613" spans="2:25" s="55" customFormat="1" ht="114.75" outlineLevel="1">
      <c r="B613" s="52" t="s">
        <v>1342</v>
      </c>
      <c r="C613" s="78" t="s">
        <v>246</v>
      </c>
      <c r="D613" s="128" t="s">
        <v>265</v>
      </c>
      <c r="E613" s="56" t="s">
        <v>137</v>
      </c>
      <c r="F613" s="56" t="s">
        <v>1443</v>
      </c>
      <c r="G613" s="56"/>
      <c r="H613" s="52" t="s">
        <v>243</v>
      </c>
      <c r="I613" s="52">
        <v>10</v>
      </c>
      <c r="J613" s="52">
        <v>470000000</v>
      </c>
      <c r="K613" s="56" t="s">
        <v>123</v>
      </c>
      <c r="L613" s="52" t="s">
        <v>1503</v>
      </c>
      <c r="M613" s="56" t="s">
        <v>123</v>
      </c>
      <c r="N613" s="52" t="s">
        <v>241</v>
      </c>
      <c r="O613" s="53" t="s">
        <v>1978</v>
      </c>
      <c r="P613" s="53" t="s">
        <v>1538</v>
      </c>
      <c r="Q613" s="52">
        <v>796</v>
      </c>
      <c r="R613" s="52" t="s">
        <v>1818</v>
      </c>
      <c r="S613" s="54">
        <v>0</v>
      </c>
      <c r="T613" s="54">
        <v>179</v>
      </c>
      <c r="U613" s="54">
        <f t="shared" ref="U613" si="45">V613/112*100</f>
        <v>0</v>
      </c>
      <c r="V613" s="54">
        <v>0</v>
      </c>
      <c r="W613" s="52"/>
      <c r="X613" s="52">
        <v>2012</v>
      </c>
      <c r="Y613" s="52" t="s">
        <v>2506</v>
      </c>
    </row>
    <row r="614" spans="2:25" s="55" customFormat="1" ht="114.75" outlineLevel="1">
      <c r="B614" s="52" t="s">
        <v>2510</v>
      </c>
      <c r="C614" s="78" t="s">
        <v>246</v>
      </c>
      <c r="D614" s="128" t="s">
        <v>265</v>
      </c>
      <c r="E614" s="56" t="s">
        <v>137</v>
      </c>
      <c r="F614" s="56" t="s">
        <v>1443</v>
      </c>
      <c r="G614" s="56"/>
      <c r="H614" s="52" t="s">
        <v>243</v>
      </c>
      <c r="I614" s="52">
        <v>10</v>
      </c>
      <c r="J614" s="52">
        <v>470000000</v>
      </c>
      <c r="K614" s="56" t="s">
        <v>123</v>
      </c>
      <c r="L614" s="52" t="s">
        <v>1503</v>
      </c>
      <c r="M614" s="56" t="s">
        <v>123</v>
      </c>
      <c r="N614" s="52" t="s">
        <v>241</v>
      </c>
      <c r="O614" s="53" t="s">
        <v>1978</v>
      </c>
      <c r="P614" s="53" t="s">
        <v>1538</v>
      </c>
      <c r="Q614" s="52">
        <v>796</v>
      </c>
      <c r="R614" s="52" t="s">
        <v>1818</v>
      </c>
      <c r="S614" s="54">
        <v>84</v>
      </c>
      <c r="T614" s="54">
        <v>179</v>
      </c>
      <c r="U614" s="54">
        <f t="shared" si="40"/>
        <v>15204.910714285714</v>
      </c>
      <c r="V614" s="54">
        <v>17029.5</v>
      </c>
      <c r="W614" s="52"/>
      <c r="X614" s="52">
        <v>2012</v>
      </c>
      <c r="Y614" s="52"/>
    </row>
    <row r="615" spans="2:25" s="55" customFormat="1" ht="114.75" outlineLevel="1">
      <c r="B615" s="52" t="s">
        <v>1343</v>
      </c>
      <c r="C615" s="78" t="s">
        <v>246</v>
      </c>
      <c r="D615" s="128" t="s">
        <v>265</v>
      </c>
      <c r="E615" s="56" t="s">
        <v>138</v>
      </c>
      <c r="F615" s="56" t="s">
        <v>1444</v>
      </c>
      <c r="G615" s="56"/>
      <c r="H615" s="52" t="s">
        <v>243</v>
      </c>
      <c r="I615" s="52">
        <v>10</v>
      </c>
      <c r="J615" s="52">
        <v>470000000</v>
      </c>
      <c r="K615" s="56" t="s">
        <v>123</v>
      </c>
      <c r="L615" s="52" t="s">
        <v>1503</v>
      </c>
      <c r="M615" s="56" t="s">
        <v>123</v>
      </c>
      <c r="N615" s="52" t="s">
        <v>241</v>
      </c>
      <c r="O615" s="53" t="s">
        <v>1978</v>
      </c>
      <c r="P615" s="53" t="s">
        <v>1538</v>
      </c>
      <c r="Q615" s="52">
        <v>796</v>
      </c>
      <c r="R615" s="52" t="s">
        <v>1818</v>
      </c>
      <c r="S615" s="54">
        <v>0</v>
      </c>
      <c r="T615" s="54">
        <v>141</v>
      </c>
      <c r="U615" s="54">
        <v>0</v>
      </c>
      <c r="V615" s="54">
        <v>0</v>
      </c>
      <c r="W615" s="52"/>
      <c r="X615" s="52">
        <v>2012</v>
      </c>
      <c r="Y615" s="52" t="s">
        <v>2506</v>
      </c>
    </row>
    <row r="616" spans="2:25" s="55" customFormat="1" ht="114.75" outlineLevel="1">
      <c r="B616" s="52" t="s">
        <v>2511</v>
      </c>
      <c r="C616" s="78" t="s">
        <v>246</v>
      </c>
      <c r="D616" s="128" t="s">
        <v>265</v>
      </c>
      <c r="E616" s="56" t="s">
        <v>138</v>
      </c>
      <c r="F616" s="56" t="s">
        <v>1444</v>
      </c>
      <c r="G616" s="56"/>
      <c r="H616" s="52" t="s">
        <v>243</v>
      </c>
      <c r="I616" s="52">
        <v>10</v>
      </c>
      <c r="J616" s="52">
        <v>470000000</v>
      </c>
      <c r="K616" s="56" t="s">
        <v>123</v>
      </c>
      <c r="L616" s="52" t="s">
        <v>1503</v>
      </c>
      <c r="M616" s="56" t="s">
        <v>123</v>
      </c>
      <c r="N616" s="52" t="s">
        <v>241</v>
      </c>
      <c r="O616" s="53" t="s">
        <v>1978</v>
      </c>
      <c r="P616" s="53" t="s">
        <v>1538</v>
      </c>
      <c r="Q616" s="52">
        <v>796</v>
      </c>
      <c r="R616" s="52" t="s">
        <v>1818</v>
      </c>
      <c r="S616" s="54">
        <v>18</v>
      </c>
      <c r="T616" s="54">
        <v>141</v>
      </c>
      <c r="U616" s="54">
        <f t="shared" si="40"/>
        <v>2557.1428571428573</v>
      </c>
      <c r="V616" s="54">
        <v>2864</v>
      </c>
      <c r="W616" s="52"/>
      <c r="X616" s="52">
        <v>2012</v>
      </c>
      <c r="Y616" s="52"/>
    </row>
    <row r="617" spans="2:25" s="55" customFormat="1" ht="114.75" outlineLevel="1">
      <c r="B617" s="52" t="s">
        <v>1344</v>
      </c>
      <c r="C617" s="78" t="s">
        <v>246</v>
      </c>
      <c r="D617" s="128" t="s">
        <v>265</v>
      </c>
      <c r="E617" s="56" t="s">
        <v>139</v>
      </c>
      <c r="F617" s="56" t="s">
        <v>1445</v>
      </c>
      <c r="G617" s="56"/>
      <c r="H617" s="52" t="s">
        <v>243</v>
      </c>
      <c r="I617" s="52">
        <v>10</v>
      </c>
      <c r="J617" s="52">
        <v>470000000</v>
      </c>
      <c r="K617" s="56" t="s">
        <v>123</v>
      </c>
      <c r="L617" s="52" t="s">
        <v>1503</v>
      </c>
      <c r="M617" s="56" t="s">
        <v>123</v>
      </c>
      <c r="N617" s="52" t="s">
        <v>241</v>
      </c>
      <c r="O617" s="53" t="s">
        <v>1978</v>
      </c>
      <c r="P617" s="53" t="s">
        <v>1538</v>
      </c>
      <c r="Q617" s="52">
        <v>796</v>
      </c>
      <c r="R617" s="52" t="s">
        <v>1818</v>
      </c>
      <c r="S617" s="54">
        <v>0</v>
      </c>
      <c r="T617" s="54">
        <v>99</v>
      </c>
      <c r="U617" s="54">
        <v>0</v>
      </c>
      <c r="V617" s="54">
        <v>0</v>
      </c>
      <c r="W617" s="52"/>
      <c r="X617" s="52">
        <v>2012</v>
      </c>
      <c r="Y617" s="52" t="s">
        <v>2506</v>
      </c>
    </row>
    <row r="618" spans="2:25" s="55" customFormat="1" ht="114.75" outlineLevel="1">
      <c r="B618" s="52" t="s">
        <v>2512</v>
      </c>
      <c r="C618" s="78" t="s">
        <v>246</v>
      </c>
      <c r="D618" s="128" t="s">
        <v>265</v>
      </c>
      <c r="E618" s="56" t="s">
        <v>139</v>
      </c>
      <c r="F618" s="56" t="s">
        <v>1445</v>
      </c>
      <c r="G618" s="56"/>
      <c r="H618" s="52" t="s">
        <v>243</v>
      </c>
      <c r="I618" s="52">
        <v>10</v>
      </c>
      <c r="J618" s="52">
        <v>470000000</v>
      </c>
      <c r="K618" s="56" t="s">
        <v>123</v>
      </c>
      <c r="L618" s="52" t="s">
        <v>1503</v>
      </c>
      <c r="M618" s="56" t="s">
        <v>123</v>
      </c>
      <c r="N618" s="52" t="s">
        <v>241</v>
      </c>
      <c r="O618" s="53" t="s">
        <v>1978</v>
      </c>
      <c r="P618" s="53" t="s">
        <v>1538</v>
      </c>
      <c r="Q618" s="52">
        <v>796</v>
      </c>
      <c r="R618" s="52" t="s">
        <v>1818</v>
      </c>
      <c r="S618" s="54">
        <v>84</v>
      </c>
      <c r="T618" s="54">
        <v>99</v>
      </c>
      <c r="U618" s="54">
        <f t="shared" si="40"/>
        <v>8388.3928571428569</v>
      </c>
      <c r="V618" s="54">
        <v>9395</v>
      </c>
      <c r="W618" s="52"/>
      <c r="X618" s="52">
        <v>2012</v>
      </c>
      <c r="Y618" s="52"/>
    </row>
    <row r="619" spans="2:25" s="55" customFormat="1" ht="114.75" outlineLevel="1">
      <c r="B619" s="52" t="s">
        <v>1345</v>
      </c>
      <c r="C619" s="78" t="s">
        <v>246</v>
      </c>
      <c r="D619" s="128" t="s">
        <v>265</v>
      </c>
      <c r="E619" s="56" t="s">
        <v>140</v>
      </c>
      <c r="F619" s="57" t="s">
        <v>1446</v>
      </c>
      <c r="G619" s="57"/>
      <c r="H619" s="52" t="s">
        <v>243</v>
      </c>
      <c r="I619" s="52">
        <v>10</v>
      </c>
      <c r="J619" s="52">
        <v>470000000</v>
      </c>
      <c r="K619" s="56" t="s">
        <v>123</v>
      </c>
      <c r="L619" s="52" t="s">
        <v>1503</v>
      </c>
      <c r="M619" s="56" t="s">
        <v>123</v>
      </c>
      <c r="N619" s="52" t="s">
        <v>241</v>
      </c>
      <c r="O619" s="53" t="s">
        <v>1978</v>
      </c>
      <c r="P619" s="53" t="s">
        <v>1538</v>
      </c>
      <c r="Q619" s="52">
        <v>796</v>
      </c>
      <c r="R619" s="52" t="s">
        <v>1818</v>
      </c>
      <c r="S619" s="54">
        <v>0</v>
      </c>
      <c r="T619" s="54">
        <v>85</v>
      </c>
      <c r="U619" s="54">
        <v>0</v>
      </c>
      <c r="V619" s="54">
        <v>0</v>
      </c>
      <c r="W619" s="52"/>
      <c r="X619" s="52">
        <v>2012</v>
      </c>
      <c r="Y619" s="52" t="s">
        <v>2506</v>
      </c>
    </row>
    <row r="620" spans="2:25" s="55" customFormat="1" ht="114.75" outlineLevel="1">
      <c r="B620" s="52" t="s">
        <v>2513</v>
      </c>
      <c r="C620" s="78" t="s">
        <v>246</v>
      </c>
      <c r="D620" s="128" t="s">
        <v>265</v>
      </c>
      <c r="E620" s="56" t="s">
        <v>140</v>
      </c>
      <c r="F620" s="57" t="s">
        <v>1446</v>
      </c>
      <c r="G620" s="57"/>
      <c r="H620" s="52" t="s">
        <v>243</v>
      </c>
      <c r="I620" s="52">
        <v>10</v>
      </c>
      <c r="J620" s="52">
        <v>470000000</v>
      </c>
      <c r="K620" s="56" t="s">
        <v>123</v>
      </c>
      <c r="L620" s="52" t="s">
        <v>1503</v>
      </c>
      <c r="M620" s="56" t="s">
        <v>123</v>
      </c>
      <c r="N620" s="52" t="s">
        <v>241</v>
      </c>
      <c r="O620" s="53" t="s">
        <v>1978</v>
      </c>
      <c r="P620" s="53" t="s">
        <v>1538</v>
      </c>
      <c r="Q620" s="52">
        <v>796</v>
      </c>
      <c r="R620" s="52" t="s">
        <v>1818</v>
      </c>
      <c r="S620" s="54">
        <v>78</v>
      </c>
      <c r="T620" s="54">
        <v>85</v>
      </c>
      <c r="U620" s="54">
        <f t="shared" si="40"/>
        <v>6700.4464285714294</v>
      </c>
      <c r="V620" s="54">
        <v>7504.5</v>
      </c>
      <c r="W620" s="52"/>
      <c r="X620" s="52">
        <v>2012</v>
      </c>
      <c r="Y620" s="52"/>
    </row>
    <row r="621" spans="2:25" s="55" customFormat="1" ht="114.75" outlineLevel="1">
      <c r="B621" s="52" t="s">
        <v>1346</v>
      </c>
      <c r="C621" s="78" t="s">
        <v>246</v>
      </c>
      <c r="D621" s="56" t="s">
        <v>265</v>
      </c>
      <c r="E621" s="56" t="s">
        <v>141</v>
      </c>
      <c r="F621" s="57" t="s">
        <v>1447</v>
      </c>
      <c r="G621" s="57"/>
      <c r="H621" s="52" t="s">
        <v>243</v>
      </c>
      <c r="I621" s="52">
        <v>10</v>
      </c>
      <c r="J621" s="52">
        <v>470000000</v>
      </c>
      <c r="K621" s="56" t="s">
        <v>123</v>
      </c>
      <c r="L621" s="52" t="s">
        <v>1503</v>
      </c>
      <c r="M621" s="56" t="s">
        <v>123</v>
      </c>
      <c r="N621" s="52" t="s">
        <v>241</v>
      </c>
      <c r="O621" s="53" t="s">
        <v>1978</v>
      </c>
      <c r="P621" s="53" t="s">
        <v>1538</v>
      </c>
      <c r="Q621" s="52">
        <v>796</v>
      </c>
      <c r="R621" s="52" t="s">
        <v>1818</v>
      </c>
      <c r="S621" s="54">
        <v>0</v>
      </c>
      <c r="T621" s="54">
        <v>471</v>
      </c>
      <c r="U621" s="54">
        <v>0</v>
      </c>
      <c r="V621" s="54">
        <v>0</v>
      </c>
      <c r="W621" s="52"/>
      <c r="X621" s="52">
        <v>2012</v>
      </c>
      <c r="Y621" s="52" t="s">
        <v>2506</v>
      </c>
    </row>
    <row r="622" spans="2:25" s="55" customFormat="1" ht="114.75" outlineLevel="1">
      <c r="B622" s="52" t="s">
        <v>2514</v>
      </c>
      <c r="C622" s="78" t="s">
        <v>246</v>
      </c>
      <c r="D622" s="56" t="s">
        <v>265</v>
      </c>
      <c r="E622" s="56" t="s">
        <v>141</v>
      </c>
      <c r="F622" s="57" t="s">
        <v>1447</v>
      </c>
      <c r="G622" s="57"/>
      <c r="H622" s="52" t="s">
        <v>243</v>
      </c>
      <c r="I622" s="52">
        <v>10</v>
      </c>
      <c r="J622" s="52">
        <v>470000000</v>
      </c>
      <c r="K622" s="56" t="s">
        <v>123</v>
      </c>
      <c r="L622" s="52" t="s">
        <v>1503</v>
      </c>
      <c r="M622" s="56" t="s">
        <v>123</v>
      </c>
      <c r="N622" s="52" t="s">
        <v>241</v>
      </c>
      <c r="O622" s="53" t="s">
        <v>1978</v>
      </c>
      <c r="P622" s="53" t="s">
        <v>1538</v>
      </c>
      <c r="Q622" s="52">
        <v>796</v>
      </c>
      <c r="R622" s="52" t="s">
        <v>1818</v>
      </c>
      <c r="S622" s="54">
        <v>25</v>
      </c>
      <c r="T622" s="54">
        <v>471</v>
      </c>
      <c r="U622" s="54">
        <f t="shared" si="40"/>
        <v>11932.142857142857</v>
      </c>
      <c r="V622" s="54">
        <v>13364</v>
      </c>
      <c r="W622" s="52"/>
      <c r="X622" s="52">
        <v>2012</v>
      </c>
      <c r="Y622" s="52"/>
    </row>
    <row r="623" spans="2:25" s="55" customFormat="1" ht="114.75" outlineLevel="1">
      <c r="B623" s="52" t="s">
        <v>1347</v>
      </c>
      <c r="C623" s="78" t="s">
        <v>246</v>
      </c>
      <c r="D623" s="56" t="s">
        <v>265</v>
      </c>
      <c r="E623" s="56" t="s">
        <v>142</v>
      </c>
      <c r="F623" s="53" t="s">
        <v>1448</v>
      </c>
      <c r="G623" s="53"/>
      <c r="H623" s="52" t="s">
        <v>243</v>
      </c>
      <c r="I623" s="52">
        <v>10</v>
      </c>
      <c r="J623" s="52">
        <v>470000000</v>
      </c>
      <c r="K623" s="56" t="s">
        <v>123</v>
      </c>
      <c r="L623" s="52" t="s">
        <v>1503</v>
      </c>
      <c r="M623" s="56" t="s">
        <v>123</v>
      </c>
      <c r="N623" s="52" t="s">
        <v>241</v>
      </c>
      <c r="O623" s="53" t="s">
        <v>1978</v>
      </c>
      <c r="P623" s="53" t="s">
        <v>1538</v>
      </c>
      <c r="Q623" s="52">
        <v>796</v>
      </c>
      <c r="R623" s="52" t="s">
        <v>1818</v>
      </c>
      <c r="S623" s="54">
        <v>0</v>
      </c>
      <c r="T623" s="54">
        <v>113</v>
      </c>
      <c r="U623" s="54">
        <v>0</v>
      </c>
      <c r="V623" s="54">
        <v>0</v>
      </c>
      <c r="W623" s="52"/>
      <c r="X623" s="52">
        <v>2012</v>
      </c>
      <c r="Y623" s="52" t="s">
        <v>2506</v>
      </c>
    </row>
    <row r="624" spans="2:25" s="55" customFormat="1" ht="114.75" outlineLevel="1">
      <c r="B624" s="52" t="s">
        <v>2515</v>
      </c>
      <c r="C624" s="78" t="s">
        <v>246</v>
      </c>
      <c r="D624" s="56" t="s">
        <v>265</v>
      </c>
      <c r="E624" s="56" t="s">
        <v>142</v>
      </c>
      <c r="F624" s="53" t="s">
        <v>1448</v>
      </c>
      <c r="G624" s="53"/>
      <c r="H624" s="52" t="s">
        <v>243</v>
      </c>
      <c r="I624" s="52">
        <v>10</v>
      </c>
      <c r="J624" s="52">
        <v>470000000</v>
      </c>
      <c r="K624" s="56" t="s">
        <v>123</v>
      </c>
      <c r="L624" s="52" t="s">
        <v>1503</v>
      </c>
      <c r="M624" s="56" t="s">
        <v>123</v>
      </c>
      <c r="N624" s="52" t="s">
        <v>241</v>
      </c>
      <c r="O624" s="53" t="s">
        <v>1978</v>
      </c>
      <c r="P624" s="53" t="s">
        <v>1538</v>
      </c>
      <c r="Q624" s="52">
        <v>796</v>
      </c>
      <c r="R624" s="52" t="s">
        <v>1818</v>
      </c>
      <c r="S624" s="54">
        <v>46</v>
      </c>
      <c r="T624" s="54">
        <v>113</v>
      </c>
      <c r="U624" s="54">
        <f t="shared" si="40"/>
        <v>5271.4285714285716</v>
      </c>
      <c r="V624" s="54">
        <v>5904</v>
      </c>
      <c r="W624" s="52"/>
      <c r="X624" s="52">
        <v>2012</v>
      </c>
      <c r="Y624" s="52"/>
    </row>
    <row r="625" spans="2:25" s="55" customFormat="1" ht="114.75" outlineLevel="1">
      <c r="B625" s="52" t="s">
        <v>1348</v>
      </c>
      <c r="C625" s="78" t="s">
        <v>246</v>
      </c>
      <c r="D625" s="128" t="s">
        <v>265</v>
      </c>
      <c r="E625" s="56" t="s">
        <v>143</v>
      </c>
      <c r="F625" s="56" t="s">
        <v>1449</v>
      </c>
      <c r="G625" s="56"/>
      <c r="H625" s="52" t="s">
        <v>243</v>
      </c>
      <c r="I625" s="52">
        <v>10</v>
      </c>
      <c r="J625" s="52">
        <v>470000000</v>
      </c>
      <c r="K625" s="56" t="s">
        <v>123</v>
      </c>
      <c r="L625" s="52" t="s">
        <v>1503</v>
      </c>
      <c r="M625" s="56" t="s">
        <v>123</v>
      </c>
      <c r="N625" s="52" t="s">
        <v>241</v>
      </c>
      <c r="O625" s="53" t="s">
        <v>1978</v>
      </c>
      <c r="P625" s="53" t="s">
        <v>1538</v>
      </c>
      <c r="Q625" s="52">
        <v>796</v>
      </c>
      <c r="R625" s="52" t="s">
        <v>1818</v>
      </c>
      <c r="S625" s="54">
        <v>0</v>
      </c>
      <c r="T625" s="54">
        <v>85</v>
      </c>
      <c r="U625" s="54">
        <v>0</v>
      </c>
      <c r="V625" s="54">
        <v>0</v>
      </c>
      <c r="W625" s="52"/>
      <c r="X625" s="52">
        <v>2012</v>
      </c>
      <c r="Y625" s="52" t="s">
        <v>2506</v>
      </c>
    </row>
    <row r="626" spans="2:25" s="55" customFormat="1" ht="114.75" outlineLevel="1">
      <c r="B626" s="52" t="s">
        <v>2516</v>
      </c>
      <c r="C626" s="78" t="s">
        <v>246</v>
      </c>
      <c r="D626" s="128" t="s">
        <v>265</v>
      </c>
      <c r="E626" s="56" t="s">
        <v>143</v>
      </c>
      <c r="F626" s="56" t="s">
        <v>1449</v>
      </c>
      <c r="G626" s="56"/>
      <c r="H626" s="52" t="s">
        <v>243</v>
      </c>
      <c r="I626" s="52">
        <v>10</v>
      </c>
      <c r="J626" s="52">
        <v>470000000</v>
      </c>
      <c r="K626" s="56" t="s">
        <v>123</v>
      </c>
      <c r="L626" s="52" t="s">
        <v>1503</v>
      </c>
      <c r="M626" s="56" t="s">
        <v>123</v>
      </c>
      <c r="N626" s="52" t="s">
        <v>241</v>
      </c>
      <c r="O626" s="53" t="s">
        <v>1978</v>
      </c>
      <c r="P626" s="53" t="s">
        <v>1538</v>
      </c>
      <c r="Q626" s="52">
        <v>796</v>
      </c>
      <c r="R626" s="52" t="s">
        <v>1818</v>
      </c>
      <c r="S626" s="54">
        <v>96</v>
      </c>
      <c r="T626" s="54">
        <v>85</v>
      </c>
      <c r="U626" s="54">
        <f t="shared" si="40"/>
        <v>8199.1071428571431</v>
      </c>
      <c r="V626" s="54">
        <v>9183</v>
      </c>
      <c r="W626" s="52"/>
      <c r="X626" s="52">
        <v>2012</v>
      </c>
      <c r="Y626" s="52"/>
    </row>
    <row r="627" spans="2:25" s="55" customFormat="1" ht="114.75" outlineLevel="1">
      <c r="B627" s="52" t="s">
        <v>1349</v>
      </c>
      <c r="C627" s="78" t="s">
        <v>246</v>
      </c>
      <c r="D627" s="128" t="s">
        <v>265</v>
      </c>
      <c r="E627" s="56" t="s">
        <v>144</v>
      </c>
      <c r="F627" s="56" t="s">
        <v>1450</v>
      </c>
      <c r="G627" s="56"/>
      <c r="H627" s="52" t="s">
        <v>243</v>
      </c>
      <c r="I627" s="52">
        <v>10</v>
      </c>
      <c r="J627" s="52">
        <v>470000000</v>
      </c>
      <c r="K627" s="56" t="s">
        <v>123</v>
      </c>
      <c r="L627" s="52" t="s">
        <v>1503</v>
      </c>
      <c r="M627" s="56" t="s">
        <v>123</v>
      </c>
      <c r="N627" s="52" t="s">
        <v>241</v>
      </c>
      <c r="O627" s="53" t="s">
        <v>1978</v>
      </c>
      <c r="P627" s="53" t="s">
        <v>1538</v>
      </c>
      <c r="Q627" s="52">
        <v>796</v>
      </c>
      <c r="R627" s="52" t="s">
        <v>1818</v>
      </c>
      <c r="S627" s="54">
        <v>0</v>
      </c>
      <c r="T627" s="54">
        <v>47</v>
      </c>
      <c r="U627" s="54">
        <v>0</v>
      </c>
      <c r="V627" s="54">
        <v>0</v>
      </c>
      <c r="W627" s="52"/>
      <c r="X627" s="52">
        <v>2012</v>
      </c>
      <c r="Y627" s="52" t="s">
        <v>2506</v>
      </c>
    </row>
    <row r="628" spans="2:25" s="55" customFormat="1" ht="114.75" outlineLevel="1">
      <c r="B628" s="52" t="s">
        <v>2517</v>
      </c>
      <c r="C628" s="78" t="s">
        <v>246</v>
      </c>
      <c r="D628" s="128" t="s">
        <v>265</v>
      </c>
      <c r="E628" s="56" t="s">
        <v>144</v>
      </c>
      <c r="F628" s="56" t="s">
        <v>1450</v>
      </c>
      <c r="G628" s="56"/>
      <c r="H628" s="52" t="s">
        <v>243</v>
      </c>
      <c r="I628" s="52">
        <v>10</v>
      </c>
      <c r="J628" s="52">
        <v>470000000</v>
      </c>
      <c r="K628" s="56" t="s">
        <v>123</v>
      </c>
      <c r="L628" s="52" t="s">
        <v>1503</v>
      </c>
      <c r="M628" s="56" t="s">
        <v>123</v>
      </c>
      <c r="N628" s="52" t="s">
        <v>241</v>
      </c>
      <c r="O628" s="53" t="s">
        <v>1978</v>
      </c>
      <c r="P628" s="53" t="s">
        <v>1538</v>
      </c>
      <c r="Q628" s="52">
        <v>796</v>
      </c>
      <c r="R628" s="52" t="s">
        <v>1818</v>
      </c>
      <c r="S628" s="54">
        <v>72</v>
      </c>
      <c r="T628" s="54">
        <v>47</v>
      </c>
      <c r="U628" s="54">
        <f t="shared" si="40"/>
        <v>3399.1071428571431</v>
      </c>
      <c r="V628" s="54">
        <v>3807</v>
      </c>
      <c r="W628" s="52"/>
      <c r="X628" s="52">
        <v>2012</v>
      </c>
      <c r="Y628" s="52"/>
    </row>
    <row r="629" spans="2:25" s="55" customFormat="1" ht="114.75" outlineLevel="1">
      <c r="B629" s="52" t="s">
        <v>1350</v>
      </c>
      <c r="C629" s="78" t="s">
        <v>246</v>
      </c>
      <c r="D629" s="128" t="s">
        <v>265</v>
      </c>
      <c r="E629" s="56" t="s">
        <v>145</v>
      </c>
      <c r="F629" s="56" t="s">
        <v>1451</v>
      </c>
      <c r="G629" s="56"/>
      <c r="H629" s="52" t="s">
        <v>243</v>
      </c>
      <c r="I629" s="52">
        <v>10</v>
      </c>
      <c r="J629" s="52">
        <v>470000000</v>
      </c>
      <c r="K629" s="56" t="s">
        <v>123</v>
      </c>
      <c r="L629" s="52" t="s">
        <v>1503</v>
      </c>
      <c r="M629" s="56" t="s">
        <v>123</v>
      </c>
      <c r="N629" s="52" t="s">
        <v>241</v>
      </c>
      <c r="O629" s="53" t="s">
        <v>1978</v>
      </c>
      <c r="P629" s="53" t="s">
        <v>1538</v>
      </c>
      <c r="Q629" s="52">
        <v>796</v>
      </c>
      <c r="R629" s="52" t="s">
        <v>1818</v>
      </c>
      <c r="S629" s="54">
        <v>0</v>
      </c>
      <c r="T629" s="54">
        <v>264</v>
      </c>
      <c r="U629" s="54">
        <v>0</v>
      </c>
      <c r="V629" s="54">
        <v>0</v>
      </c>
      <c r="W629" s="52"/>
      <c r="X629" s="52">
        <v>2012</v>
      </c>
      <c r="Y629" s="52" t="s">
        <v>2506</v>
      </c>
    </row>
    <row r="630" spans="2:25" s="55" customFormat="1" ht="114.75" outlineLevel="1">
      <c r="B630" s="52" t="s">
        <v>2518</v>
      </c>
      <c r="C630" s="78" t="s">
        <v>246</v>
      </c>
      <c r="D630" s="128" t="s">
        <v>265</v>
      </c>
      <c r="E630" s="56" t="s">
        <v>145</v>
      </c>
      <c r="F630" s="56" t="s">
        <v>1451</v>
      </c>
      <c r="G630" s="56"/>
      <c r="H630" s="52" t="s">
        <v>243</v>
      </c>
      <c r="I630" s="52">
        <v>10</v>
      </c>
      <c r="J630" s="52">
        <v>470000000</v>
      </c>
      <c r="K630" s="56" t="s">
        <v>123</v>
      </c>
      <c r="L630" s="52" t="s">
        <v>1503</v>
      </c>
      <c r="M630" s="56" t="s">
        <v>123</v>
      </c>
      <c r="N630" s="52" t="s">
        <v>241</v>
      </c>
      <c r="O630" s="53" t="s">
        <v>1978</v>
      </c>
      <c r="P630" s="53" t="s">
        <v>1538</v>
      </c>
      <c r="Q630" s="52">
        <v>796</v>
      </c>
      <c r="R630" s="52" t="s">
        <v>1818</v>
      </c>
      <c r="S630" s="54">
        <v>38</v>
      </c>
      <c r="T630" s="54">
        <v>264</v>
      </c>
      <c r="U630" s="54">
        <f t="shared" si="40"/>
        <v>10105.357142857143</v>
      </c>
      <c r="V630" s="54">
        <v>11318</v>
      </c>
      <c r="W630" s="52"/>
      <c r="X630" s="52">
        <v>2012</v>
      </c>
      <c r="Y630" s="52"/>
    </row>
    <row r="631" spans="2:25" s="55" customFormat="1" ht="114.75" outlineLevel="1">
      <c r="B631" s="52" t="s">
        <v>1658</v>
      </c>
      <c r="C631" s="78" t="s">
        <v>246</v>
      </c>
      <c r="D631" s="128" t="s">
        <v>265</v>
      </c>
      <c r="E631" s="56" t="s">
        <v>146</v>
      </c>
      <c r="F631" s="57" t="s">
        <v>1452</v>
      </c>
      <c r="G631" s="57"/>
      <c r="H631" s="52" t="s">
        <v>243</v>
      </c>
      <c r="I631" s="52">
        <v>10</v>
      </c>
      <c r="J631" s="52">
        <v>470000000</v>
      </c>
      <c r="K631" s="56" t="s">
        <v>123</v>
      </c>
      <c r="L631" s="52" t="s">
        <v>1503</v>
      </c>
      <c r="M631" s="56" t="s">
        <v>123</v>
      </c>
      <c r="N631" s="52" t="s">
        <v>241</v>
      </c>
      <c r="O631" s="53" t="s">
        <v>1978</v>
      </c>
      <c r="P631" s="53" t="s">
        <v>1538</v>
      </c>
      <c r="Q631" s="52">
        <v>796</v>
      </c>
      <c r="R631" s="52" t="s">
        <v>1818</v>
      </c>
      <c r="S631" s="54">
        <v>0</v>
      </c>
      <c r="T631" s="54">
        <v>2357</v>
      </c>
      <c r="U631" s="54">
        <v>0</v>
      </c>
      <c r="V631" s="54">
        <v>0</v>
      </c>
      <c r="W631" s="52"/>
      <c r="X631" s="52">
        <v>2012</v>
      </c>
      <c r="Y631" s="52" t="s">
        <v>2506</v>
      </c>
    </row>
    <row r="632" spans="2:25" s="55" customFormat="1" ht="114.75" outlineLevel="1">
      <c r="B632" s="52" t="s">
        <v>2519</v>
      </c>
      <c r="C632" s="78" t="s">
        <v>246</v>
      </c>
      <c r="D632" s="128" t="s">
        <v>265</v>
      </c>
      <c r="E632" s="56" t="s">
        <v>146</v>
      </c>
      <c r="F632" s="57" t="s">
        <v>1452</v>
      </c>
      <c r="G632" s="57"/>
      <c r="H632" s="52" t="s">
        <v>243</v>
      </c>
      <c r="I632" s="52">
        <v>10</v>
      </c>
      <c r="J632" s="52">
        <v>470000000</v>
      </c>
      <c r="K632" s="56" t="s">
        <v>123</v>
      </c>
      <c r="L632" s="52" t="s">
        <v>1503</v>
      </c>
      <c r="M632" s="56" t="s">
        <v>123</v>
      </c>
      <c r="N632" s="52" t="s">
        <v>241</v>
      </c>
      <c r="O632" s="53" t="s">
        <v>1978</v>
      </c>
      <c r="P632" s="53" t="s">
        <v>1538</v>
      </c>
      <c r="Q632" s="52">
        <v>796</v>
      </c>
      <c r="R632" s="52" t="s">
        <v>1818</v>
      </c>
      <c r="S632" s="54">
        <v>7</v>
      </c>
      <c r="T632" s="54">
        <v>2357</v>
      </c>
      <c r="U632" s="54">
        <f t="shared" si="40"/>
        <v>16100.446428571428</v>
      </c>
      <c r="V632" s="54">
        <v>18032.5</v>
      </c>
      <c r="W632" s="52"/>
      <c r="X632" s="52">
        <v>2012</v>
      </c>
      <c r="Y632" s="52"/>
    </row>
    <row r="633" spans="2:25" s="55" customFormat="1" ht="114.75" outlineLevel="1">
      <c r="B633" s="52" t="s">
        <v>1351</v>
      </c>
      <c r="C633" s="78" t="s">
        <v>246</v>
      </c>
      <c r="D633" s="128" t="s">
        <v>265</v>
      </c>
      <c r="E633" s="56" t="s">
        <v>147</v>
      </c>
      <c r="F633" s="53" t="s">
        <v>1454</v>
      </c>
      <c r="G633" s="53"/>
      <c r="H633" s="52" t="s">
        <v>243</v>
      </c>
      <c r="I633" s="52">
        <v>10</v>
      </c>
      <c r="J633" s="52">
        <v>470000000</v>
      </c>
      <c r="K633" s="56" t="s">
        <v>123</v>
      </c>
      <c r="L633" s="52" t="s">
        <v>1503</v>
      </c>
      <c r="M633" s="56" t="s">
        <v>123</v>
      </c>
      <c r="N633" s="52" t="s">
        <v>241</v>
      </c>
      <c r="O633" s="53" t="s">
        <v>1978</v>
      </c>
      <c r="P633" s="53" t="s">
        <v>1538</v>
      </c>
      <c r="Q633" s="52">
        <v>796</v>
      </c>
      <c r="R633" s="52" t="s">
        <v>1818</v>
      </c>
      <c r="S633" s="54">
        <v>0</v>
      </c>
      <c r="T633" s="54">
        <v>28</v>
      </c>
      <c r="U633" s="54">
        <v>0</v>
      </c>
      <c r="V633" s="54">
        <v>0</v>
      </c>
      <c r="W633" s="52"/>
      <c r="X633" s="52">
        <v>2012</v>
      </c>
      <c r="Y633" s="52" t="s">
        <v>2506</v>
      </c>
    </row>
    <row r="634" spans="2:25" s="55" customFormat="1" ht="114.75" outlineLevel="1">
      <c r="B634" s="52" t="s">
        <v>2520</v>
      </c>
      <c r="C634" s="78" t="s">
        <v>246</v>
      </c>
      <c r="D634" s="128" t="s">
        <v>265</v>
      </c>
      <c r="E634" s="56" t="s">
        <v>147</v>
      </c>
      <c r="F634" s="53" t="s">
        <v>1454</v>
      </c>
      <c r="G634" s="53"/>
      <c r="H634" s="52" t="s">
        <v>243</v>
      </c>
      <c r="I634" s="52">
        <v>10</v>
      </c>
      <c r="J634" s="52">
        <v>470000000</v>
      </c>
      <c r="K634" s="56" t="s">
        <v>123</v>
      </c>
      <c r="L634" s="52" t="s">
        <v>1503</v>
      </c>
      <c r="M634" s="56" t="s">
        <v>123</v>
      </c>
      <c r="N634" s="52" t="s">
        <v>241</v>
      </c>
      <c r="O634" s="53" t="s">
        <v>1978</v>
      </c>
      <c r="P634" s="53" t="s">
        <v>1538</v>
      </c>
      <c r="Q634" s="52">
        <v>796</v>
      </c>
      <c r="R634" s="52" t="s">
        <v>1818</v>
      </c>
      <c r="S634" s="54">
        <v>666</v>
      </c>
      <c r="T634" s="54">
        <v>28</v>
      </c>
      <c r="U634" s="54">
        <f t="shared" si="40"/>
        <v>18675</v>
      </c>
      <c r="V634" s="54">
        <v>20916</v>
      </c>
      <c r="W634" s="52"/>
      <c r="X634" s="52">
        <v>2012</v>
      </c>
      <c r="Y634" s="52"/>
    </row>
    <row r="635" spans="2:25" s="55" customFormat="1" ht="114.75" outlineLevel="1">
      <c r="B635" s="52" t="s">
        <v>1352</v>
      </c>
      <c r="C635" s="78" t="s">
        <v>246</v>
      </c>
      <c r="D635" s="128" t="s">
        <v>265</v>
      </c>
      <c r="E635" s="56" t="s">
        <v>148</v>
      </c>
      <c r="F635" s="57" t="s">
        <v>148</v>
      </c>
      <c r="G635" s="57"/>
      <c r="H635" s="52" t="s">
        <v>243</v>
      </c>
      <c r="I635" s="52">
        <v>10</v>
      </c>
      <c r="J635" s="52">
        <v>470000000</v>
      </c>
      <c r="K635" s="56" t="s">
        <v>123</v>
      </c>
      <c r="L635" s="52" t="s">
        <v>1503</v>
      </c>
      <c r="M635" s="56" t="s">
        <v>123</v>
      </c>
      <c r="N635" s="52" t="s">
        <v>241</v>
      </c>
      <c r="O635" s="53" t="s">
        <v>1978</v>
      </c>
      <c r="P635" s="53" t="s">
        <v>1538</v>
      </c>
      <c r="Q635" s="52">
        <v>796</v>
      </c>
      <c r="R635" s="52" t="s">
        <v>1818</v>
      </c>
      <c r="S635" s="54">
        <v>0</v>
      </c>
      <c r="T635" s="54">
        <v>632</v>
      </c>
      <c r="U635" s="54">
        <v>0</v>
      </c>
      <c r="V635" s="54">
        <v>0</v>
      </c>
      <c r="W635" s="52"/>
      <c r="X635" s="52">
        <v>2012</v>
      </c>
      <c r="Y635" s="52" t="s">
        <v>2506</v>
      </c>
    </row>
    <row r="636" spans="2:25" s="55" customFormat="1" ht="114.75" outlineLevel="1">
      <c r="B636" s="52" t="s">
        <v>2521</v>
      </c>
      <c r="C636" s="78" t="s">
        <v>246</v>
      </c>
      <c r="D636" s="128" t="s">
        <v>265</v>
      </c>
      <c r="E636" s="56" t="s">
        <v>148</v>
      </c>
      <c r="F636" s="57" t="s">
        <v>148</v>
      </c>
      <c r="G636" s="57"/>
      <c r="H636" s="52" t="s">
        <v>243</v>
      </c>
      <c r="I636" s="52">
        <v>10</v>
      </c>
      <c r="J636" s="52">
        <v>470000000</v>
      </c>
      <c r="K636" s="56" t="s">
        <v>123</v>
      </c>
      <c r="L636" s="52" t="s">
        <v>1503</v>
      </c>
      <c r="M636" s="56" t="s">
        <v>123</v>
      </c>
      <c r="N636" s="52" t="s">
        <v>241</v>
      </c>
      <c r="O636" s="53" t="s">
        <v>1978</v>
      </c>
      <c r="P636" s="53" t="s">
        <v>1538</v>
      </c>
      <c r="Q636" s="52">
        <v>796</v>
      </c>
      <c r="R636" s="52" t="s">
        <v>1818</v>
      </c>
      <c r="S636" s="54">
        <v>12</v>
      </c>
      <c r="T636" s="54">
        <v>632</v>
      </c>
      <c r="U636" s="54">
        <f t="shared" si="40"/>
        <v>7681.25</v>
      </c>
      <c r="V636" s="54">
        <v>8603</v>
      </c>
      <c r="W636" s="52"/>
      <c r="X636" s="52">
        <v>2012</v>
      </c>
      <c r="Y636" s="52"/>
    </row>
    <row r="637" spans="2:25" s="55" customFormat="1" ht="114.75" outlineLevel="1">
      <c r="B637" s="52" t="s">
        <v>1353</v>
      </c>
      <c r="C637" s="78" t="s">
        <v>246</v>
      </c>
      <c r="D637" s="128" t="s">
        <v>265</v>
      </c>
      <c r="E637" s="56" t="s">
        <v>149</v>
      </c>
      <c r="F637" s="57" t="s">
        <v>1453</v>
      </c>
      <c r="G637" s="57"/>
      <c r="H637" s="52" t="s">
        <v>243</v>
      </c>
      <c r="I637" s="52">
        <v>10</v>
      </c>
      <c r="J637" s="52">
        <v>470000000</v>
      </c>
      <c r="K637" s="56" t="s">
        <v>123</v>
      </c>
      <c r="L637" s="52" t="s">
        <v>1503</v>
      </c>
      <c r="M637" s="56" t="s">
        <v>123</v>
      </c>
      <c r="N637" s="52" t="s">
        <v>241</v>
      </c>
      <c r="O637" s="53" t="s">
        <v>1978</v>
      </c>
      <c r="P637" s="53" t="s">
        <v>1538</v>
      </c>
      <c r="Q637" s="52">
        <v>796</v>
      </c>
      <c r="R637" s="52" t="s">
        <v>1818</v>
      </c>
      <c r="S637" s="54">
        <v>0</v>
      </c>
      <c r="T637" s="54">
        <v>28</v>
      </c>
      <c r="U637" s="54">
        <v>0</v>
      </c>
      <c r="V637" s="54">
        <v>0</v>
      </c>
      <c r="W637" s="52"/>
      <c r="X637" s="52">
        <v>2012</v>
      </c>
      <c r="Y637" s="52" t="s">
        <v>2506</v>
      </c>
    </row>
    <row r="638" spans="2:25" s="55" customFormat="1" ht="114.75" outlineLevel="1">
      <c r="B638" s="52" t="s">
        <v>2522</v>
      </c>
      <c r="C638" s="78" t="s">
        <v>246</v>
      </c>
      <c r="D638" s="128" t="s">
        <v>265</v>
      </c>
      <c r="E638" s="56" t="s">
        <v>149</v>
      </c>
      <c r="F638" s="57" t="s">
        <v>1453</v>
      </c>
      <c r="G638" s="57"/>
      <c r="H638" s="52" t="s">
        <v>243</v>
      </c>
      <c r="I638" s="52">
        <v>10</v>
      </c>
      <c r="J638" s="52">
        <v>470000000</v>
      </c>
      <c r="K638" s="56" t="s">
        <v>123</v>
      </c>
      <c r="L638" s="52" t="s">
        <v>1503</v>
      </c>
      <c r="M638" s="56" t="s">
        <v>123</v>
      </c>
      <c r="N638" s="52" t="s">
        <v>241</v>
      </c>
      <c r="O638" s="53" t="s">
        <v>1978</v>
      </c>
      <c r="P638" s="53" t="s">
        <v>1538</v>
      </c>
      <c r="Q638" s="52">
        <v>796</v>
      </c>
      <c r="R638" s="52" t="s">
        <v>1818</v>
      </c>
      <c r="S638" s="54">
        <v>408</v>
      </c>
      <c r="T638" s="54">
        <v>28</v>
      </c>
      <c r="U638" s="54">
        <f t="shared" si="40"/>
        <v>11413.392857142857</v>
      </c>
      <c r="V638" s="54">
        <v>12783</v>
      </c>
      <c r="W638" s="52"/>
      <c r="X638" s="52">
        <v>2012</v>
      </c>
      <c r="Y638" s="52"/>
    </row>
    <row r="639" spans="2:25" s="55" customFormat="1" ht="165.75" outlineLevel="1">
      <c r="B639" s="52" t="s">
        <v>1354</v>
      </c>
      <c r="C639" s="78" t="s">
        <v>246</v>
      </c>
      <c r="D639" s="77">
        <v>27015</v>
      </c>
      <c r="E639" s="56" t="s">
        <v>2325</v>
      </c>
      <c r="F639" s="56" t="s">
        <v>2324</v>
      </c>
      <c r="G639" s="56"/>
      <c r="H639" s="52" t="s">
        <v>243</v>
      </c>
      <c r="I639" s="52">
        <v>10</v>
      </c>
      <c r="J639" s="52">
        <v>550000000</v>
      </c>
      <c r="K639" s="56" t="s">
        <v>124</v>
      </c>
      <c r="L639" s="52" t="s">
        <v>1503</v>
      </c>
      <c r="M639" s="56" t="s">
        <v>124</v>
      </c>
      <c r="N639" s="52" t="s">
        <v>241</v>
      </c>
      <c r="O639" s="53" t="s">
        <v>1978</v>
      </c>
      <c r="P639" s="53" t="s">
        <v>1538</v>
      </c>
      <c r="Q639" s="52">
        <v>5111</v>
      </c>
      <c r="R639" s="52" t="s">
        <v>1434</v>
      </c>
      <c r="S639" s="54">
        <v>216</v>
      </c>
      <c r="T639" s="54">
        <f t="shared" ref="T639:T694" si="46">V639/114*100/S639</f>
        <v>565.78947368421052</v>
      </c>
      <c r="U639" s="54">
        <f t="shared" si="40"/>
        <v>124392.85714285713</v>
      </c>
      <c r="V639" s="54">
        <v>139320</v>
      </c>
      <c r="W639" s="52"/>
      <c r="X639" s="52">
        <v>2012</v>
      </c>
      <c r="Y639" s="52"/>
    </row>
    <row r="640" spans="2:25" s="55" customFormat="1" ht="114.75" outlineLevel="1">
      <c r="B640" s="52" t="s">
        <v>1355</v>
      </c>
      <c r="C640" s="78" t="s">
        <v>246</v>
      </c>
      <c r="D640" s="56" t="s">
        <v>263</v>
      </c>
      <c r="E640" s="56" t="s">
        <v>130</v>
      </c>
      <c r="F640" s="56" t="s">
        <v>1438</v>
      </c>
      <c r="G640" s="56"/>
      <c r="H640" s="52" t="s">
        <v>243</v>
      </c>
      <c r="I640" s="52">
        <v>10</v>
      </c>
      <c r="J640" s="52">
        <v>550000000</v>
      </c>
      <c r="K640" s="56" t="s">
        <v>124</v>
      </c>
      <c r="L640" s="52" t="s">
        <v>1503</v>
      </c>
      <c r="M640" s="56" t="s">
        <v>124</v>
      </c>
      <c r="N640" s="52" t="s">
        <v>241</v>
      </c>
      <c r="O640" s="53" t="s">
        <v>1978</v>
      </c>
      <c r="P640" s="53" t="s">
        <v>1538</v>
      </c>
      <c r="Q640" s="52">
        <v>736</v>
      </c>
      <c r="R640" s="52" t="s">
        <v>1435</v>
      </c>
      <c r="S640" s="54">
        <v>18</v>
      </c>
      <c r="T640" s="54">
        <f t="shared" si="46"/>
        <v>216.88596491228071</v>
      </c>
      <c r="U640" s="54">
        <f t="shared" si="40"/>
        <v>3973.6607142857147</v>
      </c>
      <c r="V640" s="54">
        <v>4450.5</v>
      </c>
      <c r="W640" s="52"/>
      <c r="X640" s="52">
        <v>2012</v>
      </c>
      <c r="Y640" s="52"/>
    </row>
    <row r="641" spans="2:25" s="55" customFormat="1" ht="114.75" outlineLevel="1">
      <c r="B641" s="52" t="s">
        <v>1356</v>
      </c>
      <c r="C641" s="78" t="s">
        <v>246</v>
      </c>
      <c r="D641" s="128" t="s">
        <v>265</v>
      </c>
      <c r="E641" s="56" t="s">
        <v>131</v>
      </c>
      <c r="F641" s="53" t="s">
        <v>1456</v>
      </c>
      <c r="G641" s="53"/>
      <c r="H641" s="52" t="s">
        <v>243</v>
      </c>
      <c r="I641" s="52">
        <v>10</v>
      </c>
      <c r="J641" s="52">
        <v>550000000</v>
      </c>
      <c r="K641" s="56" t="s">
        <v>124</v>
      </c>
      <c r="L641" s="52" t="s">
        <v>1503</v>
      </c>
      <c r="M641" s="56" t="s">
        <v>124</v>
      </c>
      <c r="N641" s="52" t="s">
        <v>241</v>
      </c>
      <c r="O641" s="53" t="s">
        <v>1978</v>
      </c>
      <c r="P641" s="53" t="s">
        <v>1538</v>
      </c>
      <c r="Q641" s="52">
        <v>796</v>
      </c>
      <c r="R641" s="52" t="s">
        <v>1818</v>
      </c>
      <c r="S641" s="54">
        <v>36</v>
      </c>
      <c r="T641" s="54">
        <f t="shared" si="46"/>
        <v>103.7280701754386</v>
      </c>
      <c r="U641" s="54">
        <f t="shared" si="40"/>
        <v>3800.8928571428569</v>
      </c>
      <c r="V641" s="54">
        <v>4257</v>
      </c>
      <c r="W641" s="52"/>
      <c r="X641" s="52">
        <v>2012</v>
      </c>
      <c r="Y641" s="52"/>
    </row>
    <row r="642" spans="2:25" s="55" customFormat="1" ht="114.75" outlineLevel="1">
      <c r="B642" s="52" t="s">
        <v>1357</v>
      </c>
      <c r="C642" s="78" t="s">
        <v>246</v>
      </c>
      <c r="D642" s="128" t="s">
        <v>265</v>
      </c>
      <c r="E642" s="56" t="s">
        <v>132</v>
      </c>
      <c r="F642" s="56" t="s">
        <v>1439</v>
      </c>
      <c r="G642" s="56"/>
      <c r="H642" s="52" t="s">
        <v>243</v>
      </c>
      <c r="I642" s="52">
        <v>10</v>
      </c>
      <c r="J642" s="52">
        <v>550000000</v>
      </c>
      <c r="K642" s="56" t="s">
        <v>124</v>
      </c>
      <c r="L642" s="52" t="s">
        <v>1503</v>
      </c>
      <c r="M642" s="56" t="s">
        <v>124</v>
      </c>
      <c r="N642" s="52" t="s">
        <v>241</v>
      </c>
      <c r="O642" s="53" t="s">
        <v>1978</v>
      </c>
      <c r="P642" s="53" t="s">
        <v>1538</v>
      </c>
      <c r="Q642" s="52">
        <v>796</v>
      </c>
      <c r="R642" s="52" t="s">
        <v>1818</v>
      </c>
      <c r="S642" s="54">
        <v>36</v>
      </c>
      <c r="T642" s="54">
        <f t="shared" si="46"/>
        <v>141.4473684210526</v>
      </c>
      <c r="U642" s="54">
        <f t="shared" si="40"/>
        <v>5183.0357142857147</v>
      </c>
      <c r="V642" s="54">
        <v>5805</v>
      </c>
      <c r="W642" s="52"/>
      <c r="X642" s="52">
        <v>2012</v>
      </c>
      <c r="Y642" s="52"/>
    </row>
    <row r="643" spans="2:25" s="55" customFormat="1" ht="114.75" outlineLevel="1">
      <c r="B643" s="52" t="s">
        <v>1358</v>
      </c>
      <c r="C643" s="78" t="s">
        <v>246</v>
      </c>
      <c r="D643" s="128" t="s">
        <v>265</v>
      </c>
      <c r="E643" s="56" t="s">
        <v>133</v>
      </c>
      <c r="F643" s="56" t="s">
        <v>1440</v>
      </c>
      <c r="G643" s="56"/>
      <c r="H643" s="52" t="s">
        <v>243</v>
      </c>
      <c r="I643" s="52">
        <v>10</v>
      </c>
      <c r="J643" s="52">
        <v>550000000</v>
      </c>
      <c r="K643" s="56" t="s">
        <v>124</v>
      </c>
      <c r="L643" s="52" t="s">
        <v>1503</v>
      </c>
      <c r="M643" s="56" t="s">
        <v>124</v>
      </c>
      <c r="N643" s="52" t="s">
        <v>241</v>
      </c>
      <c r="O643" s="53" t="s">
        <v>1978</v>
      </c>
      <c r="P643" s="53" t="s">
        <v>1538</v>
      </c>
      <c r="Q643" s="52">
        <v>796</v>
      </c>
      <c r="R643" s="52" t="s">
        <v>1818</v>
      </c>
      <c r="S643" s="54">
        <v>36</v>
      </c>
      <c r="T643" s="54">
        <f t="shared" si="46"/>
        <v>89.583333333333329</v>
      </c>
      <c r="U643" s="54">
        <f t="shared" si="40"/>
        <v>3282.5892857142853</v>
      </c>
      <c r="V643" s="54">
        <v>3676.5</v>
      </c>
      <c r="W643" s="52"/>
      <c r="X643" s="52">
        <v>2012</v>
      </c>
      <c r="Y643" s="52"/>
    </row>
    <row r="644" spans="2:25" s="55" customFormat="1" ht="114.75" outlineLevel="1">
      <c r="B644" s="52" t="s">
        <v>1359</v>
      </c>
      <c r="C644" s="78" t="s">
        <v>246</v>
      </c>
      <c r="D644" s="128" t="s">
        <v>265</v>
      </c>
      <c r="E644" s="56" t="s">
        <v>134</v>
      </c>
      <c r="F644" s="53" t="s">
        <v>1455</v>
      </c>
      <c r="G644" s="53"/>
      <c r="H644" s="52" t="s">
        <v>243</v>
      </c>
      <c r="I644" s="52">
        <v>10</v>
      </c>
      <c r="J644" s="52">
        <v>550000000</v>
      </c>
      <c r="K644" s="56" t="s">
        <v>124</v>
      </c>
      <c r="L644" s="52" t="s">
        <v>1503</v>
      </c>
      <c r="M644" s="56" t="s">
        <v>124</v>
      </c>
      <c r="N644" s="52" t="s">
        <v>241</v>
      </c>
      <c r="O644" s="53" t="s">
        <v>1978</v>
      </c>
      <c r="P644" s="53" t="s">
        <v>1538</v>
      </c>
      <c r="Q644" s="52">
        <v>704</v>
      </c>
      <c r="R644" s="52" t="s">
        <v>1436</v>
      </c>
      <c r="S644" s="54">
        <v>9</v>
      </c>
      <c r="T644" s="54">
        <f t="shared" si="46"/>
        <v>1131.5789473684208</v>
      </c>
      <c r="U644" s="54">
        <f t="shared" si="40"/>
        <v>10366.071428571429</v>
      </c>
      <c r="V644" s="54">
        <v>11610</v>
      </c>
      <c r="W644" s="52"/>
      <c r="X644" s="52">
        <v>2012</v>
      </c>
      <c r="Y644" s="52"/>
    </row>
    <row r="645" spans="2:25" s="55" customFormat="1" ht="114.75" outlineLevel="1">
      <c r="B645" s="52" t="s">
        <v>1360</v>
      </c>
      <c r="C645" s="78" t="s">
        <v>246</v>
      </c>
      <c r="D645" s="128" t="s">
        <v>265</v>
      </c>
      <c r="E645" s="56" t="s">
        <v>135</v>
      </c>
      <c r="F645" s="56" t="s">
        <v>1441</v>
      </c>
      <c r="G645" s="56"/>
      <c r="H645" s="52" t="s">
        <v>243</v>
      </c>
      <c r="I645" s="52">
        <v>10</v>
      </c>
      <c r="J645" s="52">
        <v>550000000</v>
      </c>
      <c r="K645" s="56" t="s">
        <v>124</v>
      </c>
      <c r="L645" s="52" t="s">
        <v>1503</v>
      </c>
      <c r="M645" s="56" t="s">
        <v>124</v>
      </c>
      <c r="N645" s="52" t="s">
        <v>241</v>
      </c>
      <c r="O645" s="53" t="s">
        <v>1978</v>
      </c>
      <c r="P645" s="53" t="s">
        <v>1538</v>
      </c>
      <c r="Q645" s="52">
        <v>796</v>
      </c>
      <c r="R645" s="52" t="s">
        <v>1818</v>
      </c>
      <c r="S645" s="54">
        <v>216</v>
      </c>
      <c r="T645" s="54">
        <f t="shared" si="46"/>
        <v>9.4298245614035086</v>
      </c>
      <c r="U645" s="54">
        <f t="shared" si="40"/>
        <v>2073.2142857142858</v>
      </c>
      <c r="V645" s="54">
        <v>2322</v>
      </c>
      <c r="W645" s="52"/>
      <c r="X645" s="52">
        <v>2012</v>
      </c>
      <c r="Y645" s="52"/>
    </row>
    <row r="646" spans="2:25" s="55" customFormat="1" ht="114.75" outlineLevel="1">
      <c r="B646" s="52" t="s">
        <v>1361</v>
      </c>
      <c r="C646" s="78" t="s">
        <v>246</v>
      </c>
      <c r="D646" s="128" t="s">
        <v>268</v>
      </c>
      <c r="E646" s="56" t="s">
        <v>136</v>
      </c>
      <c r="F646" s="56" t="s">
        <v>1442</v>
      </c>
      <c r="G646" s="56"/>
      <c r="H646" s="52" t="s">
        <v>243</v>
      </c>
      <c r="I646" s="52">
        <v>10</v>
      </c>
      <c r="J646" s="52">
        <v>550000000</v>
      </c>
      <c r="K646" s="56" t="s">
        <v>124</v>
      </c>
      <c r="L646" s="52" t="s">
        <v>1503</v>
      </c>
      <c r="M646" s="56" t="s">
        <v>124</v>
      </c>
      <c r="N646" s="52" t="s">
        <v>241</v>
      </c>
      <c r="O646" s="53" t="s">
        <v>1978</v>
      </c>
      <c r="P646" s="53" t="s">
        <v>1538</v>
      </c>
      <c r="Q646" s="52">
        <v>796</v>
      </c>
      <c r="R646" s="52" t="s">
        <v>1818</v>
      </c>
      <c r="S646" s="54">
        <v>54</v>
      </c>
      <c r="T646" s="54">
        <f t="shared" si="46"/>
        <v>424.34210526315792</v>
      </c>
      <c r="U646" s="54">
        <f t="shared" si="40"/>
        <v>23323.660714285714</v>
      </c>
      <c r="V646" s="54">
        <v>26122.5</v>
      </c>
      <c r="W646" s="52"/>
      <c r="X646" s="52">
        <v>2012</v>
      </c>
      <c r="Y646" s="52"/>
    </row>
    <row r="647" spans="2:25" s="55" customFormat="1" ht="114.75" outlineLevel="1">
      <c r="B647" s="52" t="s">
        <v>1362</v>
      </c>
      <c r="C647" s="78" t="s">
        <v>246</v>
      </c>
      <c r="D647" s="128" t="s">
        <v>265</v>
      </c>
      <c r="E647" s="56" t="s">
        <v>137</v>
      </c>
      <c r="F647" s="56" t="s">
        <v>1443</v>
      </c>
      <c r="G647" s="56"/>
      <c r="H647" s="52" t="s">
        <v>243</v>
      </c>
      <c r="I647" s="52">
        <v>10</v>
      </c>
      <c r="J647" s="52">
        <v>550000000</v>
      </c>
      <c r="K647" s="56" t="s">
        <v>124</v>
      </c>
      <c r="L647" s="52" t="s">
        <v>1503</v>
      </c>
      <c r="M647" s="56" t="s">
        <v>124</v>
      </c>
      <c r="N647" s="52" t="s">
        <v>241</v>
      </c>
      <c r="O647" s="53" t="s">
        <v>1978</v>
      </c>
      <c r="P647" s="53" t="s">
        <v>1538</v>
      </c>
      <c r="Q647" s="52">
        <v>796</v>
      </c>
      <c r="R647" s="52" t="s">
        <v>1818</v>
      </c>
      <c r="S647" s="54">
        <v>54</v>
      </c>
      <c r="T647" s="54">
        <f t="shared" si="46"/>
        <v>179.16666666666666</v>
      </c>
      <c r="U647" s="54">
        <f t="shared" si="40"/>
        <v>9847.7678571428569</v>
      </c>
      <c r="V647" s="54">
        <v>11029.5</v>
      </c>
      <c r="W647" s="52"/>
      <c r="X647" s="52">
        <v>2012</v>
      </c>
      <c r="Y647" s="52"/>
    </row>
    <row r="648" spans="2:25" s="55" customFormat="1" ht="114.75" outlineLevel="1">
      <c r="B648" s="52" t="s">
        <v>1363</v>
      </c>
      <c r="C648" s="78" t="s">
        <v>246</v>
      </c>
      <c r="D648" s="128" t="s">
        <v>265</v>
      </c>
      <c r="E648" s="56" t="s">
        <v>138</v>
      </c>
      <c r="F648" s="56" t="s">
        <v>1444</v>
      </c>
      <c r="G648" s="56"/>
      <c r="H648" s="52" t="s">
        <v>243</v>
      </c>
      <c r="I648" s="52">
        <v>10</v>
      </c>
      <c r="J648" s="52">
        <v>550000000</v>
      </c>
      <c r="K648" s="56" t="s">
        <v>124</v>
      </c>
      <c r="L648" s="52" t="s">
        <v>1503</v>
      </c>
      <c r="M648" s="56" t="s">
        <v>124</v>
      </c>
      <c r="N648" s="52" t="s">
        <v>241</v>
      </c>
      <c r="O648" s="53" t="s">
        <v>1978</v>
      </c>
      <c r="P648" s="53" t="s">
        <v>1538</v>
      </c>
      <c r="Q648" s="52">
        <v>796</v>
      </c>
      <c r="R648" s="52" t="s">
        <v>1818</v>
      </c>
      <c r="S648" s="54">
        <v>9</v>
      </c>
      <c r="T648" s="54">
        <f t="shared" si="46"/>
        <v>141.4473684210526</v>
      </c>
      <c r="U648" s="54">
        <f t="shared" si="40"/>
        <v>1295.7589285714287</v>
      </c>
      <c r="V648" s="54">
        <v>1451.25</v>
      </c>
      <c r="W648" s="52"/>
      <c r="X648" s="52">
        <v>2012</v>
      </c>
      <c r="Y648" s="52"/>
    </row>
    <row r="649" spans="2:25" s="55" customFormat="1" ht="114.75" outlineLevel="1">
      <c r="B649" s="52" t="s">
        <v>1364</v>
      </c>
      <c r="C649" s="78" t="s">
        <v>246</v>
      </c>
      <c r="D649" s="128" t="s">
        <v>265</v>
      </c>
      <c r="E649" s="56" t="s">
        <v>139</v>
      </c>
      <c r="F649" s="56" t="s">
        <v>1445</v>
      </c>
      <c r="G649" s="56"/>
      <c r="H649" s="52" t="s">
        <v>243</v>
      </c>
      <c r="I649" s="52">
        <v>10</v>
      </c>
      <c r="J649" s="52">
        <v>550000000</v>
      </c>
      <c r="K649" s="56" t="s">
        <v>124</v>
      </c>
      <c r="L649" s="52" t="s">
        <v>1503</v>
      </c>
      <c r="M649" s="56" t="s">
        <v>124</v>
      </c>
      <c r="N649" s="52" t="s">
        <v>241</v>
      </c>
      <c r="O649" s="53" t="s">
        <v>1978</v>
      </c>
      <c r="P649" s="53" t="s">
        <v>1538</v>
      </c>
      <c r="Q649" s="52">
        <v>796</v>
      </c>
      <c r="R649" s="52" t="s">
        <v>1818</v>
      </c>
      <c r="S649" s="54">
        <v>54</v>
      </c>
      <c r="T649" s="54">
        <f t="shared" si="46"/>
        <v>99.01315789473685</v>
      </c>
      <c r="U649" s="54">
        <f t="shared" si="40"/>
        <v>5442.1875</v>
      </c>
      <c r="V649" s="54">
        <v>6095.25</v>
      </c>
      <c r="W649" s="52"/>
      <c r="X649" s="52">
        <v>2012</v>
      </c>
      <c r="Y649" s="52"/>
    </row>
    <row r="650" spans="2:25" s="55" customFormat="1" ht="114.75" outlineLevel="1">
      <c r="B650" s="52" t="s">
        <v>1365</v>
      </c>
      <c r="C650" s="78" t="s">
        <v>246</v>
      </c>
      <c r="D650" s="128" t="s">
        <v>265</v>
      </c>
      <c r="E650" s="56" t="s">
        <v>140</v>
      </c>
      <c r="F650" s="57" t="s">
        <v>1446</v>
      </c>
      <c r="G650" s="57"/>
      <c r="H650" s="52" t="s">
        <v>243</v>
      </c>
      <c r="I650" s="52">
        <v>10</v>
      </c>
      <c r="J650" s="52">
        <v>550000000</v>
      </c>
      <c r="K650" s="56" t="s">
        <v>124</v>
      </c>
      <c r="L650" s="52" t="s">
        <v>1503</v>
      </c>
      <c r="M650" s="56" t="s">
        <v>124</v>
      </c>
      <c r="N650" s="52" t="s">
        <v>241</v>
      </c>
      <c r="O650" s="53" t="s">
        <v>1978</v>
      </c>
      <c r="P650" s="53" t="s">
        <v>1538</v>
      </c>
      <c r="Q650" s="52">
        <v>796</v>
      </c>
      <c r="R650" s="52" t="s">
        <v>1818</v>
      </c>
      <c r="S650" s="54">
        <v>54</v>
      </c>
      <c r="T650" s="54">
        <f t="shared" si="46"/>
        <v>84.868421052631589</v>
      </c>
      <c r="U650" s="54">
        <f t="shared" ref="U650:U713" si="47">V650/112*100</f>
        <v>4664.7321428571431</v>
      </c>
      <c r="V650" s="54">
        <v>5224.5</v>
      </c>
      <c r="W650" s="52"/>
      <c r="X650" s="52">
        <v>2012</v>
      </c>
      <c r="Y650" s="52"/>
    </row>
    <row r="651" spans="2:25" s="55" customFormat="1" ht="114.75" outlineLevel="1">
      <c r="B651" s="52" t="s">
        <v>1366</v>
      </c>
      <c r="C651" s="78" t="s">
        <v>246</v>
      </c>
      <c r="D651" s="56" t="s">
        <v>265</v>
      </c>
      <c r="E651" s="56" t="s">
        <v>141</v>
      </c>
      <c r="F651" s="57" t="s">
        <v>1447</v>
      </c>
      <c r="G651" s="57"/>
      <c r="H651" s="52" t="s">
        <v>243</v>
      </c>
      <c r="I651" s="52">
        <v>10</v>
      </c>
      <c r="J651" s="52">
        <v>550000000</v>
      </c>
      <c r="K651" s="56" t="s">
        <v>124</v>
      </c>
      <c r="L651" s="52" t="s">
        <v>1503</v>
      </c>
      <c r="M651" s="56" t="s">
        <v>124</v>
      </c>
      <c r="N651" s="52" t="s">
        <v>241</v>
      </c>
      <c r="O651" s="53" t="s">
        <v>1978</v>
      </c>
      <c r="P651" s="53" t="s">
        <v>1538</v>
      </c>
      <c r="Q651" s="52">
        <v>796</v>
      </c>
      <c r="R651" s="52" t="s">
        <v>1818</v>
      </c>
      <c r="S651" s="54">
        <v>18</v>
      </c>
      <c r="T651" s="54">
        <f t="shared" si="46"/>
        <v>471.49122807017545</v>
      </c>
      <c r="U651" s="54">
        <f t="shared" si="47"/>
        <v>8638.3928571428569</v>
      </c>
      <c r="V651" s="54">
        <v>9675</v>
      </c>
      <c r="W651" s="52"/>
      <c r="X651" s="52">
        <v>2012</v>
      </c>
      <c r="Y651" s="52"/>
    </row>
    <row r="652" spans="2:25" s="55" customFormat="1" ht="114.75" outlineLevel="1">
      <c r="B652" s="52" t="s">
        <v>1367</v>
      </c>
      <c r="C652" s="78" t="s">
        <v>246</v>
      </c>
      <c r="D652" s="56" t="s">
        <v>265</v>
      </c>
      <c r="E652" s="56" t="s">
        <v>142</v>
      </c>
      <c r="F652" s="53" t="s">
        <v>1448</v>
      </c>
      <c r="G652" s="53"/>
      <c r="H652" s="52" t="s">
        <v>243</v>
      </c>
      <c r="I652" s="52">
        <v>10</v>
      </c>
      <c r="J652" s="52">
        <v>550000000</v>
      </c>
      <c r="K652" s="56" t="s">
        <v>124</v>
      </c>
      <c r="L652" s="52" t="s">
        <v>1503</v>
      </c>
      <c r="M652" s="56" t="s">
        <v>124</v>
      </c>
      <c r="N652" s="52" t="s">
        <v>241</v>
      </c>
      <c r="O652" s="53" t="s">
        <v>1978</v>
      </c>
      <c r="P652" s="53" t="s">
        <v>1538</v>
      </c>
      <c r="Q652" s="52">
        <v>796</v>
      </c>
      <c r="R652" s="52" t="s">
        <v>1818</v>
      </c>
      <c r="S652" s="54">
        <v>36</v>
      </c>
      <c r="T652" s="54">
        <f t="shared" si="46"/>
        <v>113.15789473684211</v>
      </c>
      <c r="U652" s="54">
        <f t="shared" si="47"/>
        <v>4146.4285714285716</v>
      </c>
      <c r="V652" s="54">
        <v>4644</v>
      </c>
      <c r="W652" s="52"/>
      <c r="X652" s="52">
        <v>2012</v>
      </c>
      <c r="Y652" s="52"/>
    </row>
    <row r="653" spans="2:25" s="55" customFormat="1" ht="114.75" outlineLevel="1">
      <c r="B653" s="52" t="s">
        <v>1368</v>
      </c>
      <c r="C653" s="78" t="s">
        <v>246</v>
      </c>
      <c r="D653" s="128" t="s">
        <v>265</v>
      </c>
      <c r="E653" s="56" t="s">
        <v>143</v>
      </c>
      <c r="F653" s="56" t="s">
        <v>1449</v>
      </c>
      <c r="G653" s="56"/>
      <c r="H653" s="52" t="s">
        <v>243</v>
      </c>
      <c r="I653" s="52">
        <v>10</v>
      </c>
      <c r="J653" s="52">
        <v>550000000</v>
      </c>
      <c r="K653" s="56" t="s">
        <v>124</v>
      </c>
      <c r="L653" s="52" t="s">
        <v>1503</v>
      </c>
      <c r="M653" s="56" t="s">
        <v>124</v>
      </c>
      <c r="N653" s="52" t="s">
        <v>241</v>
      </c>
      <c r="O653" s="53" t="s">
        <v>1978</v>
      </c>
      <c r="P653" s="53" t="s">
        <v>1538</v>
      </c>
      <c r="Q653" s="52">
        <v>796</v>
      </c>
      <c r="R653" s="52" t="s">
        <v>1818</v>
      </c>
      <c r="S653" s="54">
        <v>36</v>
      </c>
      <c r="T653" s="54">
        <f t="shared" si="46"/>
        <v>84.868421052631589</v>
      </c>
      <c r="U653" s="54">
        <f t="shared" si="47"/>
        <v>3109.8214285714284</v>
      </c>
      <c r="V653" s="54">
        <v>3483</v>
      </c>
      <c r="W653" s="52"/>
      <c r="X653" s="52">
        <v>2012</v>
      </c>
      <c r="Y653" s="52"/>
    </row>
    <row r="654" spans="2:25" s="55" customFormat="1" ht="114.75" outlineLevel="1">
      <c r="B654" s="52" t="s">
        <v>1369</v>
      </c>
      <c r="C654" s="78" t="s">
        <v>246</v>
      </c>
      <c r="D654" s="128" t="s">
        <v>265</v>
      </c>
      <c r="E654" s="56" t="s">
        <v>144</v>
      </c>
      <c r="F654" s="56" t="s">
        <v>1450</v>
      </c>
      <c r="G654" s="56"/>
      <c r="H654" s="52" t="s">
        <v>243</v>
      </c>
      <c r="I654" s="52">
        <v>10</v>
      </c>
      <c r="J654" s="52">
        <v>550000000</v>
      </c>
      <c r="K654" s="56" t="s">
        <v>124</v>
      </c>
      <c r="L654" s="52" t="s">
        <v>1503</v>
      </c>
      <c r="M654" s="56" t="s">
        <v>124</v>
      </c>
      <c r="N654" s="52" t="s">
        <v>241</v>
      </c>
      <c r="O654" s="53" t="s">
        <v>1978</v>
      </c>
      <c r="P654" s="53" t="s">
        <v>1538</v>
      </c>
      <c r="Q654" s="52">
        <v>796</v>
      </c>
      <c r="R654" s="52" t="s">
        <v>1818</v>
      </c>
      <c r="S654" s="54">
        <v>36</v>
      </c>
      <c r="T654" s="54">
        <f t="shared" si="46"/>
        <v>47.149122807017541</v>
      </c>
      <c r="U654" s="54">
        <f t="shared" si="47"/>
        <v>1727.6785714285716</v>
      </c>
      <c r="V654" s="54">
        <v>1935</v>
      </c>
      <c r="W654" s="52"/>
      <c r="X654" s="52">
        <v>2012</v>
      </c>
      <c r="Y654" s="52"/>
    </row>
    <row r="655" spans="2:25" s="55" customFormat="1" ht="114.75" outlineLevel="1">
      <c r="B655" s="52" t="s">
        <v>1370</v>
      </c>
      <c r="C655" s="78" t="s">
        <v>246</v>
      </c>
      <c r="D655" s="128" t="s">
        <v>265</v>
      </c>
      <c r="E655" s="56" t="s">
        <v>145</v>
      </c>
      <c r="F655" s="56" t="s">
        <v>1451</v>
      </c>
      <c r="G655" s="56"/>
      <c r="H655" s="52" t="s">
        <v>243</v>
      </c>
      <c r="I655" s="52">
        <v>10</v>
      </c>
      <c r="J655" s="52">
        <v>550000000</v>
      </c>
      <c r="K655" s="56" t="s">
        <v>124</v>
      </c>
      <c r="L655" s="52" t="s">
        <v>1503</v>
      </c>
      <c r="M655" s="56" t="s">
        <v>124</v>
      </c>
      <c r="N655" s="52" t="s">
        <v>241</v>
      </c>
      <c r="O655" s="53" t="s">
        <v>1978</v>
      </c>
      <c r="P655" s="53" t="s">
        <v>1538</v>
      </c>
      <c r="Q655" s="52">
        <v>796</v>
      </c>
      <c r="R655" s="52" t="s">
        <v>1818</v>
      </c>
      <c r="S655" s="54">
        <v>18</v>
      </c>
      <c r="T655" s="54">
        <f t="shared" si="46"/>
        <v>264.03508771929825</v>
      </c>
      <c r="U655" s="54">
        <f t="shared" si="47"/>
        <v>4837.5</v>
      </c>
      <c r="V655" s="54">
        <v>5418</v>
      </c>
      <c r="W655" s="52"/>
      <c r="X655" s="52">
        <v>2012</v>
      </c>
      <c r="Y655" s="52"/>
    </row>
    <row r="656" spans="2:25" s="55" customFormat="1" ht="114.75" outlineLevel="1">
      <c r="B656" s="52" t="s">
        <v>1371</v>
      </c>
      <c r="C656" s="78" t="s">
        <v>246</v>
      </c>
      <c r="D656" s="128" t="s">
        <v>265</v>
      </c>
      <c r="E656" s="56" t="s">
        <v>146</v>
      </c>
      <c r="F656" s="57" t="s">
        <v>1452</v>
      </c>
      <c r="G656" s="57"/>
      <c r="H656" s="52" t="s">
        <v>243</v>
      </c>
      <c r="I656" s="52">
        <v>10</v>
      </c>
      <c r="J656" s="52">
        <v>550000000</v>
      </c>
      <c r="K656" s="56" t="s">
        <v>124</v>
      </c>
      <c r="L656" s="52" t="s">
        <v>1503</v>
      </c>
      <c r="M656" s="56" t="s">
        <v>124</v>
      </c>
      <c r="N656" s="52" t="s">
        <v>241</v>
      </c>
      <c r="O656" s="53" t="s">
        <v>1978</v>
      </c>
      <c r="P656" s="53" t="s">
        <v>1538</v>
      </c>
      <c r="Q656" s="52">
        <v>796</v>
      </c>
      <c r="R656" s="52" t="s">
        <v>1818</v>
      </c>
      <c r="S656" s="54">
        <v>1.8</v>
      </c>
      <c r="T656" s="54">
        <f t="shared" si="46"/>
        <v>2357.4561403508774</v>
      </c>
      <c r="U656" s="54">
        <f t="shared" si="47"/>
        <v>4319.1964285714284</v>
      </c>
      <c r="V656" s="54">
        <v>4837.5</v>
      </c>
      <c r="W656" s="52"/>
      <c r="X656" s="52">
        <v>2012</v>
      </c>
      <c r="Y656" s="52"/>
    </row>
    <row r="657" spans="2:25" s="55" customFormat="1" ht="114.75" outlineLevel="1">
      <c r="B657" s="52" t="s">
        <v>1659</v>
      </c>
      <c r="C657" s="78" t="s">
        <v>246</v>
      </c>
      <c r="D657" s="128" t="s">
        <v>265</v>
      </c>
      <c r="E657" s="56" t="s">
        <v>147</v>
      </c>
      <c r="F657" s="53" t="s">
        <v>1454</v>
      </c>
      <c r="G657" s="53"/>
      <c r="H657" s="52" t="s">
        <v>243</v>
      </c>
      <c r="I657" s="52">
        <v>10</v>
      </c>
      <c r="J657" s="52">
        <v>550000000</v>
      </c>
      <c r="K657" s="56" t="s">
        <v>124</v>
      </c>
      <c r="L657" s="52" t="s">
        <v>1503</v>
      </c>
      <c r="M657" s="56" t="s">
        <v>124</v>
      </c>
      <c r="N657" s="52" t="s">
        <v>241</v>
      </c>
      <c r="O657" s="53" t="s">
        <v>1978</v>
      </c>
      <c r="P657" s="53" t="s">
        <v>1538</v>
      </c>
      <c r="Q657" s="52">
        <v>796</v>
      </c>
      <c r="R657" s="52" t="s">
        <v>1818</v>
      </c>
      <c r="S657" s="54">
        <v>216</v>
      </c>
      <c r="T657" s="54">
        <f t="shared" si="46"/>
        <v>28.289473684210527</v>
      </c>
      <c r="U657" s="54">
        <f t="shared" si="47"/>
        <v>6219.6428571428569</v>
      </c>
      <c r="V657" s="54">
        <v>6966</v>
      </c>
      <c r="W657" s="52"/>
      <c r="X657" s="52">
        <v>2012</v>
      </c>
      <c r="Y657" s="52"/>
    </row>
    <row r="658" spans="2:25" s="55" customFormat="1" ht="114.75" outlineLevel="1">
      <c r="B658" s="52" t="s">
        <v>1372</v>
      </c>
      <c r="C658" s="78" t="s">
        <v>246</v>
      </c>
      <c r="D658" s="128" t="s">
        <v>265</v>
      </c>
      <c r="E658" s="56" t="s">
        <v>148</v>
      </c>
      <c r="F658" s="57" t="s">
        <v>148</v>
      </c>
      <c r="G658" s="57"/>
      <c r="H658" s="52" t="s">
        <v>243</v>
      </c>
      <c r="I658" s="52">
        <v>10</v>
      </c>
      <c r="J658" s="52">
        <v>550000000</v>
      </c>
      <c r="K658" s="56" t="s">
        <v>124</v>
      </c>
      <c r="L658" s="52" t="s">
        <v>1503</v>
      </c>
      <c r="M658" s="56" t="s">
        <v>124</v>
      </c>
      <c r="N658" s="52" t="s">
        <v>241</v>
      </c>
      <c r="O658" s="53" t="s">
        <v>1978</v>
      </c>
      <c r="P658" s="53" t="s">
        <v>1538</v>
      </c>
      <c r="Q658" s="52">
        <v>796</v>
      </c>
      <c r="R658" s="52" t="s">
        <v>1818</v>
      </c>
      <c r="S658" s="54">
        <v>9</v>
      </c>
      <c r="T658" s="54">
        <f t="shared" si="46"/>
        <v>631.79824561403507</v>
      </c>
      <c r="U658" s="54">
        <f t="shared" si="47"/>
        <v>5787.7232142857147</v>
      </c>
      <c r="V658" s="54">
        <v>6482.25</v>
      </c>
      <c r="W658" s="52"/>
      <c r="X658" s="52">
        <v>2012</v>
      </c>
      <c r="Y658" s="52"/>
    </row>
    <row r="659" spans="2:25" s="55" customFormat="1" ht="114.75" outlineLevel="1">
      <c r="B659" s="52" t="s">
        <v>1373</v>
      </c>
      <c r="C659" s="78" t="s">
        <v>246</v>
      </c>
      <c r="D659" s="128" t="s">
        <v>265</v>
      </c>
      <c r="E659" s="56" t="s">
        <v>149</v>
      </c>
      <c r="F659" s="57" t="s">
        <v>1453</v>
      </c>
      <c r="G659" s="57"/>
      <c r="H659" s="52" t="s">
        <v>243</v>
      </c>
      <c r="I659" s="52">
        <v>10</v>
      </c>
      <c r="J659" s="52">
        <v>550000000</v>
      </c>
      <c r="K659" s="56" t="s">
        <v>124</v>
      </c>
      <c r="L659" s="52" t="s">
        <v>1503</v>
      </c>
      <c r="M659" s="56" t="s">
        <v>124</v>
      </c>
      <c r="N659" s="52" t="s">
        <v>241</v>
      </c>
      <c r="O659" s="53" t="s">
        <v>1978</v>
      </c>
      <c r="P659" s="53" t="s">
        <v>1538</v>
      </c>
      <c r="Q659" s="52">
        <v>796</v>
      </c>
      <c r="R659" s="52" t="s">
        <v>1818</v>
      </c>
      <c r="S659" s="54">
        <v>108</v>
      </c>
      <c r="T659" s="54">
        <f t="shared" si="46"/>
        <v>28.289473684210527</v>
      </c>
      <c r="U659" s="54">
        <f t="shared" si="47"/>
        <v>3109.8214285714284</v>
      </c>
      <c r="V659" s="54">
        <v>3483</v>
      </c>
      <c r="W659" s="52"/>
      <c r="X659" s="52">
        <v>2012</v>
      </c>
      <c r="Y659" s="52"/>
    </row>
    <row r="660" spans="2:25" s="55" customFormat="1" ht="165.75" outlineLevel="1">
      <c r="B660" s="52" t="s">
        <v>1374</v>
      </c>
      <c r="C660" s="78" t="s">
        <v>246</v>
      </c>
      <c r="D660" s="77">
        <v>27015</v>
      </c>
      <c r="E660" s="56" t="s">
        <v>2325</v>
      </c>
      <c r="F660" s="56" t="s">
        <v>2324</v>
      </c>
      <c r="G660" s="56"/>
      <c r="H660" s="52" t="s">
        <v>243</v>
      </c>
      <c r="I660" s="52">
        <v>10</v>
      </c>
      <c r="J660" s="52">
        <v>590000000</v>
      </c>
      <c r="K660" s="56" t="s">
        <v>103</v>
      </c>
      <c r="L660" s="52" t="s">
        <v>1503</v>
      </c>
      <c r="M660" s="56" t="s">
        <v>103</v>
      </c>
      <c r="N660" s="52" t="s">
        <v>241</v>
      </c>
      <c r="O660" s="53" t="s">
        <v>1978</v>
      </c>
      <c r="P660" s="53" t="s">
        <v>1538</v>
      </c>
      <c r="Q660" s="52">
        <v>5111</v>
      </c>
      <c r="R660" s="52" t="s">
        <v>1434</v>
      </c>
      <c r="S660" s="54">
        <v>216</v>
      </c>
      <c r="T660" s="54">
        <f t="shared" si="46"/>
        <v>565.78947368421052</v>
      </c>
      <c r="U660" s="54">
        <f t="shared" si="47"/>
        <v>124392.85714285713</v>
      </c>
      <c r="V660" s="54">
        <v>139320</v>
      </c>
      <c r="W660" s="52"/>
      <c r="X660" s="52">
        <v>2012</v>
      </c>
      <c r="Y660" s="52"/>
    </row>
    <row r="661" spans="2:25" s="55" customFormat="1" ht="114.75" outlineLevel="1">
      <c r="B661" s="52" t="s">
        <v>1375</v>
      </c>
      <c r="C661" s="78" t="s">
        <v>246</v>
      </c>
      <c r="D661" s="56" t="s">
        <v>263</v>
      </c>
      <c r="E661" s="56" t="s">
        <v>130</v>
      </c>
      <c r="F661" s="56" t="s">
        <v>1438</v>
      </c>
      <c r="G661" s="56"/>
      <c r="H661" s="52" t="s">
        <v>243</v>
      </c>
      <c r="I661" s="52">
        <v>10</v>
      </c>
      <c r="J661" s="52">
        <v>590000000</v>
      </c>
      <c r="K661" s="56" t="s">
        <v>103</v>
      </c>
      <c r="L661" s="52" t="s">
        <v>1503</v>
      </c>
      <c r="M661" s="56" t="s">
        <v>103</v>
      </c>
      <c r="N661" s="52" t="s">
        <v>241</v>
      </c>
      <c r="O661" s="53" t="s">
        <v>1978</v>
      </c>
      <c r="P661" s="53" t="s">
        <v>1538</v>
      </c>
      <c r="Q661" s="52">
        <v>736</v>
      </c>
      <c r="R661" s="52" t="s">
        <v>1435</v>
      </c>
      <c r="S661" s="54">
        <v>18</v>
      </c>
      <c r="T661" s="54">
        <f t="shared" si="46"/>
        <v>216.88596491228071</v>
      </c>
      <c r="U661" s="54">
        <f t="shared" si="47"/>
        <v>3973.6607142857147</v>
      </c>
      <c r="V661" s="54">
        <v>4450.5</v>
      </c>
      <c r="W661" s="52"/>
      <c r="X661" s="52">
        <v>2012</v>
      </c>
      <c r="Y661" s="52"/>
    </row>
    <row r="662" spans="2:25" s="55" customFormat="1" ht="114.75" outlineLevel="1">
      <c r="B662" s="52" t="s">
        <v>1376</v>
      </c>
      <c r="C662" s="78" t="s">
        <v>246</v>
      </c>
      <c r="D662" s="128" t="s">
        <v>265</v>
      </c>
      <c r="E662" s="56" t="s">
        <v>131</v>
      </c>
      <c r="F662" s="53" t="s">
        <v>1456</v>
      </c>
      <c r="G662" s="53"/>
      <c r="H662" s="52" t="s">
        <v>243</v>
      </c>
      <c r="I662" s="52">
        <v>10</v>
      </c>
      <c r="J662" s="52">
        <v>590000000</v>
      </c>
      <c r="K662" s="56" t="s">
        <v>103</v>
      </c>
      <c r="L662" s="52" t="s">
        <v>1503</v>
      </c>
      <c r="M662" s="56" t="s">
        <v>103</v>
      </c>
      <c r="N662" s="52" t="s">
        <v>241</v>
      </c>
      <c r="O662" s="53" t="s">
        <v>1978</v>
      </c>
      <c r="P662" s="53" t="s">
        <v>1538</v>
      </c>
      <c r="Q662" s="52">
        <v>796</v>
      </c>
      <c r="R662" s="52" t="s">
        <v>1818</v>
      </c>
      <c r="S662" s="54">
        <v>36</v>
      </c>
      <c r="T662" s="54">
        <f t="shared" si="46"/>
        <v>103.7280701754386</v>
      </c>
      <c r="U662" s="54">
        <f t="shared" si="47"/>
        <v>3800.8928571428569</v>
      </c>
      <c r="V662" s="54">
        <v>4257</v>
      </c>
      <c r="W662" s="52"/>
      <c r="X662" s="52">
        <v>2012</v>
      </c>
      <c r="Y662" s="52"/>
    </row>
    <row r="663" spans="2:25" s="55" customFormat="1" ht="114.75" outlineLevel="1">
      <c r="B663" s="52" t="s">
        <v>1377</v>
      </c>
      <c r="C663" s="78" t="s">
        <v>246</v>
      </c>
      <c r="D663" s="128" t="s">
        <v>265</v>
      </c>
      <c r="E663" s="56" t="s">
        <v>132</v>
      </c>
      <c r="F663" s="56" t="s">
        <v>1439</v>
      </c>
      <c r="G663" s="56"/>
      <c r="H663" s="52" t="s">
        <v>243</v>
      </c>
      <c r="I663" s="52">
        <v>10</v>
      </c>
      <c r="J663" s="52">
        <v>590000000</v>
      </c>
      <c r="K663" s="56" t="s">
        <v>103</v>
      </c>
      <c r="L663" s="52" t="s">
        <v>1503</v>
      </c>
      <c r="M663" s="56" t="s">
        <v>103</v>
      </c>
      <c r="N663" s="52" t="s">
        <v>241</v>
      </c>
      <c r="O663" s="53" t="s">
        <v>1978</v>
      </c>
      <c r="P663" s="53" t="s">
        <v>1538</v>
      </c>
      <c r="Q663" s="52">
        <v>796</v>
      </c>
      <c r="R663" s="52" t="s">
        <v>1818</v>
      </c>
      <c r="S663" s="54">
        <v>36</v>
      </c>
      <c r="T663" s="54">
        <f t="shared" si="46"/>
        <v>141.4473684210526</v>
      </c>
      <c r="U663" s="54">
        <f t="shared" si="47"/>
        <v>5183.0357142857147</v>
      </c>
      <c r="V663" s="54">
        <v>5805</v>
      </c>
      <c r="W663" s="52"/>
      <c r="X663" s="52">
        <v>2012</v>
      </c>
      <c r="Y663" s="52"/>
    </row>
    <row r="664" spans="2:25" s="55" customFormat="1" ht="114.75" outlineLevel="1">
      <c r="B664" s="52" t="s">
        <v>1378</v>
      </c>
      <c r="C664" s="78" t="s">
        <v>246</v>
      </c>
      <c r="D664" s="128" t="s">
        <v>265</v>
      </c>
      <c r="E664" s="56" t="s">
        <v>133</v>
      </c>
      <c r="F664" s="56" t="s">
        <v>1440</v>
      </c>
      <c r="G664" s="56"/>
      <c r="H664" s="52" t="s">
        <v>243</v>
      </c>
      <c r="I664" s="52">
        <v>10</v>
      </c>
      <c r="J664" s="52">
        <v>590000000</v>
      </c>
      <c r="K664" s="56" t="s">
        <v>103</v>
      </c>
      <c r="L664" s="52" t="s">
        <v>1503</v>
      </c>
      <c r="M664" s="56" t="s">
        <v>103</v>
      </c>
      <c r="N664" s="52" t="s">
        <v>241</v>
      </c>
      <c r="O664" s="53" t="s">
        <v>1978</v>
      </c>
      <c r="P664" s="53" t="s">
        <v>1538</v>
      </c>
      <c r="Q664" s="52">
        <v>796</v>
      </c>
      <c r="R664" s="52" t="s">
        <v>1818</v>
      </c>
      <c r="S664" s="54">
        <v>36</v>
      </c>
      <c r="T664" s="54">
        <f t="shared" si="46"/>
        <v>89.583333333333329</v>
      </c>
      <c r="U664" s="54">
        <f t="shared" si="47"/>
        <v>3282.5892857142853</v>
      </c>
      <c r="V664" s="54">
        <v>3676.5</v>
      </c>
      <c r="W664" s="52"/>
      <c r="X664" s="52">
        <v>2012</v>
      </c>
      <c r="Y664" s="52"/>
    </row>
    <row r="665" spans="2:25" s="55" customFormat="1" ht="114.75" outlineLevel="1">
      <c r="B665" s="52" t="s">
        <v>1379</v>
      </c>
      <c r="C665" s="78" t="s">
        <v>246</v>
      </c>
      <c r="D665" s="128" t="s">
        <v>265</v>
      </c>
      <c r="E665" s="56" t="s">
        <v>134</v>
      </c>
      <c r="F665" s="53" t="s">
        <v>1455</v>
      </c>
      <c r="G665" s="53"/>
      <c r="H665" s="52" t="s">
        <v>243</v>
      </c>
      <c r="I665" s="52">
        <v>10</v>
      </c>
      <c r="J665" s="52">
        <v>590000000</v>
      </c>
      <c r="K665" s="56" t="s">
        <v>103</v>
      </c>
      <c r="L665" s="52" t="s">
        <v>1503</v>
      </c>
      <c r="M665" s="56" t="s">
        <v>103</v>
      </c>
      <c r="N665" s="52" t="s">
        <v>241</v>
      </c>
      <c r="O665" s="53" t="s">
        <v>1978</v>
      </c>
      <c r="P665" s="53" t="s">
        <v>1538</v>
      </c>
      <c r="Q665" s="52">
        <v>704</v>
      </c>
      <c r="R665" s="52" t="s">
        <v>1436</v>
      </c>
      <c r="S665" s="54">
        <v>9</v>
      </c>
      <c r="T665" s="54">
        <f t="shared" si="46"/>
        <v>1131.5789473684208</v>
      </c>
      <c r="U665" s="54">
        <f t="shared" si="47"/>
        <v>10366.071428571429</v>
      </c>
      <c r="V665" s="54">
        <v>11610</v>
      </c>
      <c r="W665" s="52"/>
      <c r="X665" s="52">
        <v>2012</v>
      </c>
      <c r="Y665" s="52"/>
    </row>
    <row r="666" spans="2:25" s="55" customFormat="1" ht="114.75" outlineLevel="1">
      <c r="B666" s="52" t="s">
        <v>1380</v>
      </c>
      <c r="C666" s="78" t="s">
        <v>246</v>
      </c>
      <c r="D666" s="128" t="s">
        <v>265</v>
      </c>
      <c r="E666" s="56" t="s">
        <v>135</v>
      </c>
      <c r="F666" s="56" t="s">
        <v>1441</v>
      </c>
      <c r="G666" s="56"/>
      <c r="H666" s="52" t="s">
        <v>243</v>
      </c>
      <c r="I666" s="52">
        <v>10</v>
      </c>
      <c r="J666" s="52">
        <v>590000000</v>
      </c>
      <c r="K666" s="56" t="s">
        <v>103</v>
      </c>
      <c r="L666" s="52" t="s">
        <v>1503</v>
      </c>
      <c r="M666" s="56" t="s">
        <v>103</v>
      </c>
      <c r="N666" s="52" t="s">
        <v>241</v>
      </c>
      <c r="O666" s="53" t="s">
        <v>1978</v>
      </c>
      <c r="P666" s="53" t="s">
        <v>1538</v>
      </c>
      <c r="Q666" s="52">
        <v>796</v>
      </c>
      <c r="R666" s="52" t="s">
        <v>1818</v>
      </c>
      <c r="S666" s="54">
        <v>216</v>
      </c>
      <c r="T666" s="54">
        <f t="shared" si="46"/>
        <v>9.4298245614035086</v>
      </c>
      <c r="U666" s="54">
        <f t="shared" si="47"/>
        <v>2073.2142857142858</v>
      </c>
      <c r="V666" s="54">
        <v>2322</v>
      </c>
      <c r="W666" s="52"/>
      <c r="X666" s="52">
        <v>2012</v>
      </c>
      <c r="Y666" s="52"/>
    </row>
    <row r="667" spans="2:25" s="55" customFormat="1" ht="114.75" outlineLevel="1">
      <c r="B667" s="52" t="s">
        <v>1381</v>
      </c>
      <c r="C667" s="78" t="s">
        <v>246</v>
      </c>
      <c r="D667" s="128" t="s">
        <v>268</v>
      </c>
      <c r="E667" s="56" t="s">
        <v>136</v>
      </c>
      <c r="F667" s="56" t="s">
        <v>1442</v>
      </c>
      <c r="G667" s="56"/>
      <c r="H667" s="52" t="s">
        <v>243</v>
      </c>
      <c r="I667" s="52">
        <v>10</v>
      </c>
      <c r="J667" s="52">
        <v>590000000</v>
      </c>
      <c r="K667" s="56" t="s">
        <v>103</v>
      </c>
      <c r="L667" s="52" t="s">
        <v>1503</v>
      </c>
      <c r="M667" s="56" t="s">
        <v>103</v>
      </c>
      <c r="N667" s="52" t="s">
        <v>241</v>
      </c>
      <c r="O667" s="53" t="s">
        <v>1978</v>
      </c>
      <c r="P667" s="53" t="s">
        <v>1538</v>
      </c>
      <c r="Q667" s="52">
        <v>796</v>
      </c>
      <c r="R667" s="52" t="s">
        <v>1818</v>
      </c>
      <c r="S667" s="54">
        <v>54</v>
      </c>
      <c r="T667" s="54">
        <f t="shared" si="46"/>
        <v>424.34210526315792</v>
      </c>
      <c r="U667" s="54">
        <f t="shared" si="47"/>
        <v>23323.660714285714</v>
      </c>
      <c r="V667" s="54">
        <v>26122.5</v>
      </c>
      <c r="W667" s="52"/>
      <c r="X667" s="52">
        <v>2012</v>
      </c>
      <c r="Y667" s="52"/>
    </row>
    <row r="668" spans="2:25" s="55" customFormat="1" ht="114.75" outlineLevel="1">
      <c r="B668" s="52" t="s">
        <v>1382</v>
      </c>
      <c r="C668" s="78" t="s">
        <v>246</v>
      </c>
      <c r="D668" s="128" t="s">
        <v>265</v>
      </c>
      <c r="E668" s="56" t="s">
        <v>137</v>
      </c>
      <c r="F668" s="56" t="s">
        <v>1443</v>
      </c>
      <c r="G668" s="56"/>
      <c r="H668" s="52" t="s">
        <v>243</v>
      </c>
      <c r="I668" s="52">
        <v>10</v>
      </c>
      <c r="J668" s="52">
        <v>590000000</v>
      </c>
      <c r="K668" s="56" t="s">
        <v>103</v>
      </c>
      <c r="L668" s="52" t="s">
        <v>1503</v>
      </c>
      <c r="M668" s="56" t="s">
        <v>103</v>
      </c>
      <c r="N668" s="52" t="s">
        <v>241</v>
      </c>
      <c r="O668" s="53" t="s">
        <v>1978</v>
      </c>
      <c r="P668" s="53" t="s">
        <v>1538</v>
      </c>
      <c r="Q668" s="52">
        <v>796</v>
      </c>
      <c r="R668" s="52" t="s">
        <v>1818</v>
      </c>
      <c r="S668" s="54">
        <v>54</v>
      </c>
      <c r="T668" s="54">
        <f t="shared" si="46"/>
        <v>179.16666666666666</v>
      </c>
      <c r="U668" s="54">
        <f t="shared" si="47"/>
        <v>9847.7678571428569</v>
      </c>
      <c r="V668" s="54">
        <v>11029.5</v>
      </c>
      <c r="W668" s="52"/>
      <c r="X668" s="52">
        <v>2012</v>
      </c>
      <c r="Y668" s="52"/>
    </row>
    <row r="669" spans="2:25" s="55" customFormat="1" ht="114.75" outlineLevel="1">
      <c r="B669" s="52" t="s">
        <v>1383</v>
      </c>
      <c r="C669" s="78" t="s">
        <v>246</v>
      </c>
      <c r="D669" s="128" t="s">
        <v>265</v>
      </c>
      <c r="E669" s="56" t="s">
        <v>138</v>
      </c>
      <c r="F669" s="56" t="s">
        <v>1444</v>
      </c>
      <c r="G669" s="56"/>
      <c r="H669" s="52" t="s">
        <v>243</v>
      </c>
      <c r="I669" s="52">
        <v>10</v>
      </c>
      <c r="J669" s="52">
        <v>590000000</v>
      </c>
      <c r="K669" s="56" t="s">
        <v>103</v>
      </c>
      <c r="L669" s="52" t="s">
        <v>1503</v>
      </c>
      <c r="M669" s="56" t="s">
        <v>103</v>
      </c>
      <c r="N669" s="52" t="s">
        <v>241</v>
      </c>
      <c r="O669" s="53" t="s">
        <v>1978</v>
      </c>
      <c r="P669" s="53" t="s">
        <v>1538</v>
      </c>
      <c r="Q669" s="52">
        <v>796</v>
      </c>
      <c r="R669" s="52" t="s">
        <v>1818</v>
      </c>
      <c r="S669" s="54">
        <v>9</v>
      </c>
      <c r="T669" s="54">
        <f t="shared" si="46"/>
        <v>141.4473684210526</v>
      </c>
      <c r="U669" s="54">
        <f t="shared" si="47"/>
        <v>1295.7589285714287</v>
      </c>
      <c r="V669" s="54">
        <v>1451.25</v>
      </c>
      <c r="W669" s="52"/>
      <c r="X669" s="52">
        <v>2012</v>
      </c>
      <c r="Y669" s="52"/>
    </row>
    <row r="670" spans="2:25" s="55" customFormat="1" ht="114.75" outlineLevel="1">
      <c r="B670" s="52" t="s">
        <v>1384</v>
      </c>
      <c r="C670" s="78" t="s">
        <v>246</v>
      </c>
      <c r="D670" s="128" t="s">
        <v>265</v>
      </c>
      <c r="E670" s="56" t="s">
        <v>139</v>
      </c>
      <c r="F670" s="56" t="s">
        <v>1445</v>
      </c>
      <c r="G670" s="56"/>
      <c r="H670" s="52" t="s">
        <v>243</v>
      </c>
      <c r="I670" s="52">
        <v>10</v>
      </c>
      <c r="J670" s="52">
        <v>590000000</v>
      </c>
      <c r="K670" s="56" t="s">
        <v>103</v>
      </c>
      <c r="L670" s="52" t="s">
        <v>1503</v>
      </c>
      <c r="M670" s="56" t="s">
        <v>103</v>
      </c>
      <c r="N670" s="52" t="s">
        <v>241</v>
      </c>
      <c r="O670" s="53" t="s">
        <v>1978</v>
      </c>
      <c r="P670" s="53" t="s">
        <v>1538</v>
      </c>
      <c r="Q670" s="52">
        <v>796</v>
      </c>
      <c r="R670" s="52" t="s">
        <v>1818</v>
      </c>
      <c r="S670" s="54">
        <v>54</v>
      </c>
      <c r="T670" s="54">
        <f t="shared" si="46"/>
        <v>99.01315789473685</v>
      </c>
      <c r="U670" s="54">
        <f t="shared" si="47"/>
        <v>5442.1875</v>
      </c>
      <c r="V670" s="54">
        <v>6095.25</v>
      </c>
      <c r="W670" s="52"/>
      <c r="X670" s="52">
        <v>2012</v>
      </c>
      <c r="Y670" s="52"/>
    </row>
    <row r="671" spans="2:25" s="55" customFormat="1" ht="114.75" outlineLevel="1">
      <c r="B671" s="52" t="s">
        <v>1385</v>
      </c>
      <c r="C671" s="78" t="s">
        <v>246</v>
      </c>
      <c r="D671" s="128" t="s">
        <v>265</v>
      </c>
      <c r="E671" s="56" t="s">
        <v>140</v>
      </c>
      <c r="F671" s="57" t="s">
        <v>1446</v>
      </c>
      <c r="G671" s="57"/>
      <c r="H671" s="52" t="s">
        <v>243</v>
      </c>
      <c r="I671" s="52">
        <v>10</v>
      </c>
      <c r="J671" s="52">
        <v>590000000</v>
      </c>
      <c r="K671" s="56" t="s">
        <v>103</v>
      </c>
      <c r="L671" s="52" t="s">
        <v>1503</v>
      </c>
      <c r="M671" s="56" t="s">
        <v>103</v>
      </c>
      <c r="N671" s="52" t="s">
        <v>241</v>
      </c>
      <c r="O671" s="53" t="s">
        <v>1978</v>
      </c>
      <c r="P671" s="53" t="s">
        <v>1538</v>
      </c>
      <c r="Q671" s="52">
        <v>796</v>
      </c>
      <c r="R671" s="52" t="s">
        <v>1818</v>
      </c>
      <c r="S671" s="54">
        <v>54</v>
      </c>
      <c r="T671" s="54">
        <f t="shared" si="46"/>
        <v>84.868421052631589</v>
      </c>
      <c r="U671" s="54">
        <f t="shared" si="47"/>
        <v>4664.7321428571431</v>
      </c>
      <c r="V671" s="54">
        <v>5224.5</v>
      </c>
      <c r="W671" s="52"/>
      <c r="X671" s="52">
        <v>2012</v>
      </c>
      <c r="Y671" s="52"/>
    </row>
    <row r="672" spans="2:25" s="55" customFormat="1" ht="114.75" outlineLevel="1">
      <c r="B672" s="52" t="s">
        <v>1386</v>
      </c>
      <c r="C672" s="78" t="s">
        <v>246</v>
      </c>
      <c r="D672" s="56" t="s">
        <v>265</v>
      </c>
      <c r="E672" s="56" t="s">
        <v>141</v>
      </c>
      <c r="F672" s="57" t="s">
        <v>1447</v>
      </c>
      <c r="G672" s="57"/>
      <c r="H672" s="52" t="s">
        <v>243</v>
      </c>
      <c r="I672" s="52">
        <v>10</v>
      </c>
      <c r="J672" s="52">
        <v>590000000</v>
      </c>
      <c r="K672" s="56" t="s">
        <v>103</v>
      </c>
      <c r="L672" s="52" t="s">
        <v>1503</v>
      </c>
      <c r="M672" s="56" t="s">
        <v>103</v>
      </c>
      <c r="N672" s="52" t="s">
        <v>241</v>
      </c>
      <c r="O672" s="53" t="s">
        <v>1978</v>
      </c>
      <c r="P672" s="53" t="s">
        <v>1538</v>
      </c>
      <c r="Q672" s="52">
        <v>796</v>
      </c>
      <c r="R672" s="52" t="s">
        <v>1818</v>
      </c>
      <c r="S672" s="54">
        <v>18</v>
      </c>
      <c r="T672" s="54">
        <f t="shared" si="46"/>
        <v>471.49122807017545</v>
      </c>
      <c r="U672" s="54">
        <f t="shared" si="47"/>
        <v>8638.3928571428569</v>
      </c>
      <c r="V672" s="54">
        <v>9675</v>
      </c>
      <c r="W672" s="52"/>
      <c r="X672" s="52">
        <v>2012</v>
      </c>
      <c r="Y672" s="52"/>
    </row>
    <row r="673" spans="2:25" s="55" customFormat="1" ht="114.75" outlineLevel="1">
      <c r="B673" s="52" t="s">
        <v>1387</v>
      </c>
      <c r="C673" s="78" t="s">
        <v>246</v>
      </c>
      <c r="D673" s="56" t="s">
        <v>265</v>
      </c>
      <c r="E673" s="56" t="s">
        <v>142</v>
      </c>
      <c r="F673" s="53" t="s">
        <v>1448</v>
      </c>
      <c r="G673" s="53"/>
      <c r="H673" s="52" t="s">
        <v>243</v>
      </c>
      <c r="I673" s="52">
        <v>10</v>
      </c>
      <c r="J673" s="52">
        <v>590000000</v>
      </c>
      <c r="K673" s="56" t="s">
        <v>103</v>
      </c>
      <c r="L673" s="52" t="s">
        <v>1503</v>
      </c>
      <c r="M673" s="56" t="s">
        <v>103</v>
      </c>
      <c r="N673" s="52" t="s">
        <v>241</v>
      </c>
      <c r="O673" s="53" t="s">
        <v>1978</v>
      </c>
      <c r="P673" s="53" t="s">
        <v>1538</v>
      </c>
      <c r="Q673" s="52">
        <v>796</v>
      </c>
      <c r="R673" s="52" t="s">
        <v>1818</v>
      </c>
      <c r="S673" s="54">
        <v>36</v>
      </c>
      <c r="T673" s="54">
        <f t="shared" si="46"/>
        <v>113.15789473684211</v>
      </c>
      <c r="U673" s="54">
        <f t="shared" si="47"/>
        <v>4146.4285714285716</v>
      </c>
      <c r="V673" s="54">
        <v>4644</v>
      </c>
      <c r="W673" s="52"/>
      <c r="X673" s="52">
        <v>2012</v>
      </c>
      <c r="Y673" s="52"/>
    </row>
    <row r="674" spans="2:25" s="55" customFormat="1" ht="114.75" outlineLevel="1">
      <c r="B674" s="52" t="s">
        <v>1388</v>
      </c>
      <c r="C674" s="78" t="s">
        <v>246</v>
      </c>
      <c r="D674" s="128" t="s">
        <v>265</v>
      </c>
      <c r="E674" s="56" t="s">
        <v>143</v>
      </c>
      <c r="F674" s="56" t="s">
        <v>1449</v>
      </c>
      <c r="G674" s="56"/>
      <c r="H674" s="52" t="s">
        <v>243</v>
      </c>
      <c r="I674" s="52">
        <v>10</v>
      </c>
      <c r="J674" s="52">
        <v>590000000</v>
      </c>
      <c r="K674" s="56" t="s">
        <v>103</v>
      </c>
      <c r="L674" s="52" t="s">
        <v>1503</v>
      </c>
      <c r="M674" s="56" t="s">
        <v>103</v>
      </c>
      <c r="N674" s="52" t="s">
        <v>241</v>
      </c>
      <c r="O674" s="53" t="s">
        <v>1978</v>
      </c>
      <c r="P674" s="53" t="s">
        <v>1538</v>
      </c>
      <c r="Q674" s="52">
        <v>796</v>
      </c>
      <c r="R674" s="52" t="s">
        <v>1818</v>
      </c>
      <c r="S674" s="54">
        <v>36</v>
      </c>
      <c r="T674" s="54">
        <f t="shared" si="46"/>
        <v>84.868421052631589</v>
      </c>
      <c r="U674" s="54">
        <f t="shared" si="47"/>
        <v>3109.8214285714284</v>
      </c>
      <c r="V674" s="54">
        <v>3483</v>
      </c>
      <c r="W674" s="52"/>
      <c r="X674" s="52">
        <v>2012</v>
      </c>
      <c r="Y674" s="52"/>
    </row>
    <row r="675" spans="2:25" s="55" customFormat="1" ht="114.75" outlineLevel="1">
      <c r="B675" s="52" t="s">
        <v>1389</v>
      </c>
      <c r="C675" s="78" t="s">
        <v>246</v>
      </c>
      <c r="D675" s="128" t="s">
        <v>265</v>
      </c>
      <c r="E675" s="56" t="s">
        <v>144</v>
      </c>
      <c r="F675" s="56" t="s">
        <v>1450</v>
      </c>
      <c r="G675" s="56"/>
      <c r="H675" s="52" t="s">
        <v>243</v>
      </c>
      <c r="I675" s="52">
        <v>10</v>
      </c>
      <c r="J675" s="52">
        <v>590000000</v>
      </c>
      <c r="K675" s="56" t="s">
        <v>103</v>
      </c>
      <c r="L675" s="52" t="s">
        <v>1503</v>
      </c>
      <c r="M675" s="56" t="s">
        <v>103</v>
      </c>
      <c r="N675" s="52" t="s">
        <v>241</v>
      </c>
      <c r="O675" s="53" t="s">
        <v>1978</v>
      </c>
      <c r="P675" s="53" t="s">
        <v>1538</v>
      </c>
      <c r="Q675" s="52">
        <v>796</v>
      </c>
      <c r="R675" s="52" t="s">
        <v>1818</v>
      </c>
      <c r="S675" s="54">
        <v>36</v>
      </c>
      <c r="T675" s="54">
        <f t="shared" si="46"/>
        <v>47.149122807017541</v>
      </c>
      <c r="U675" s="54">
        <f t="shared" si="47"/>
        <v>1727.6785714285716</v>
      </c>
      <c r="V675" s="54">
        <v>1935</v>
      </c>
      <c r="W675" s="52"/>
      <c r="X675" s="52">
        <v>2012</v>
      </c>
      <c r="Y675" s="52"/>
    </row>
    <row r="676" spans="2:25" s="55" customFormat="1" ht="114.75" outlineLevel="1">
      <c r="B676" s="52" t="s">
        <v>1390</v>
      </c>
      <c r="C676" s="78" t="s">
        <v>246</v>
      </c>
      <c r="D676" s="128" t="s">
        <v>265</v>
      </c>
      <c r="E676" s="56" t="s">
        <v>145</v>
      </c>
      <c r="F676" s="56" t="s">
        <v>1451</v>
      </c>
      <c r="G676" s="56"/>
      <c r="H676" s="52" t="s">
        <v>243</v>
      </c>
      <c r="I676" s="52">
        <v>10</v>
      </c>
      <c r="J676" s="52">
        <v>590000000</v>
      </c>
      <c r="K676" s="56" t="s">
        <v>103</v>
      </c>
      <c r="L676" s="52" t="s">
        <v>1503</v>
      </c>
      <c r="M676" s="56" t="s">
        <v>103</v>
      </c>
      <c r="N676" s="52" t="s">
        <v>241</v>
      </c>
      <c r="O676" s="53" t="s">
        <v>1978</v>
      </c>
      <c r="P676" s="53" t="s">
        <v>1538</v>
      </c>
      <c r="Q676" s="52">
        <v>796</v>
      </c>
      <c r="R676" s="52" t="s">
        <v>1818</v>
      </c>
      <c r="S676" s="54">
        <v>18</v>
      </c>
      <c r="T676" s="54">
        <f t="shared" si="46"/>
        <v>264.03508771929825</v>
      </c>
      <c r="U676" s="54">
        <f t="shared" si="47"/>
        <v>4837.5</v>
      </c>
      <c r="V676" s="54">
        <v>5418</v>
      </c>
      <c r="W676" s="52"/>
      <c r="X676" s="52">
        <v>2012</v>
      </c>
      <c r="Y676" s="52"/>
    </row>
    <row r="677" spans="2:25" s="55" customFormat="1" ht="114.75" outlineLevel="1">
      <c r="B677" s="52" t="s">
        <v>1391</v>
      </c>
      <c r="C677" s="78" t="s">
        <v>246</v>
      </c>
      <c r="D677" s="128" t="s">
        <v>265</v>
      </c>
      <c r="E677" s="56" t="s">
        <v>146</v>
      </c>
      <c r="F677" s="57" t="s">
        <v>1452</v>
      </c>
      <c r="G677" s="57"/>
      <c r="H677" s="52" t="s">
        <v>243</v>
      </c>
      <c r="I677" s="52">
        <v>10</v>
      </c>
      <c r="J677" s="52">
        <v>590000000</v>
      </c>
      <c r="K677" s="56" t="s">
        <v>103</v>
      </c>
      <c r="L677" s="52" t="s">
        <v>1503</v>
      </c>
      <c r="M677" s="56" t="s">
        <v>103</v>
      </c>
      <c r="N677" s="52" t="s">
        <v>241</v>
      </c>
      <c r="O677" s="53" t="s">
        <v>1978</v>
      </c>
      <c r="P677" s="53" t="s">
        <v>1538</v>
      </c>
      <c r="Q677" s="52">
        <v>796</v>
      </c>
      <c r="R677" s="52" t="s">
        <v>1818</v>
      </c>
      <c r="S677" s="54">
        <v>1.8</v>
      </c>
      <c r="T677" s="54">
        <f t="shared" si="46"/>
        <v>2357.4561403508774</v>
      </c>
      <c r="U677" s="54">
        <f t="shared" si="47"/>
        <v>4319.1964285714284</v>
      </c>
      <c r="V677" s="54">
        <v>4837.5</v>
      </c>
      <c r="W677" s="52"/>
      <c r="X677" s="52">
        <v>2012</v>
      </c>
      <c r="Y677" s="52"/>
    </row>
    <row r="678" spans="2:25" s="55" customFormat="1" ht="114.75" outlineLevel="1">
      <c r="B678" s="52" t="s">
        <v>1392</v>
      </c>
      <c r="C678" s="78" t="s">
        <v>246</v>
      </c>
      <c r="D678" s="128" t="s">
        <v>265</v>
      </c>
      <c r="E678" s="56" t="s">
        <v>147</v>
      </c>
      <c r="F678" s="53" t="s">
        <v>1454</v>
      </c>
      <c r="G678" s="53"/>
      <c r="H678" s="52" t="s">
        <v>243</v>
      </c>
      <c r="I678" s="52">
        <v>10</v>
      </c>
      <c r="J678" s="52">
        <v>590000000</v>
      </c>
      <c r="K678" s="56" t="s">
        <v>103</v>
      </c>
      <c r="L678" s="52" t="s">
        <v>1503</v>
      </c>
      <c r="M678" s="56" t="s">
        <v>103</v>
      </c>
      <c r="N678" s="52" t="s">
        <v>241</v>
      </c>
      <c r="O678" s="53" t="s">
        <v>1978</v>
      </c>
      <c r="P678" s="53" t="s">
        <v>1538</v>
      </c>
      <c r="Q678" s="52">
        <v>796</v>
      </c>
      <c r="R678" s="52" t="s">
        <v>1818</v>
      </c>
      <c r="S678" s="54">
        <v>216</v>
      </c>
      <c r="T678" s="54">
        <f t="shared" si="46"/>
        <v>28.289473684210527</v>
      </c>
      <c r="U678" s="54">
        <f t="shared" si="47"/>
        <v>6219.6428571428569</v>
      </c>
      <c r="V678" s="54">
        <v>6966</v>
      </c>
      <c r="W678" s="52"/>
      <c r="X678" s="52">
        <v>2012</v>
      </c>
      <c r="Y678" s="52"/>
    </row>
    <row r="679" spans="2:25" s="55" customFormat="1" ht="114.75" outlineLevel="1">
      <c r="B679" s="52" t="s">
        <v>1660</v>
      </c>
      <c r="C679" s="78" t="s">
        <v>246</v>
      </c>
      <c r="D679" s="128" t="s">
        <v>265</v>
      </c>
      <c r="E679" s="56" t="s">
        <v>148</v>
      </c>
      <c r="F679" s="57" t="s">
        <v>148</v>
      </c>
      <c r="G679" s="57"/>
      <c r="H679" s="52" t="s">
        <v>243</v>
      </c>
      <c r="I679" s="52">
        <v>10</v>
      </c>
      <c r="J679" s="52">
        <v>590000000</v>
      </c>
      <c r="K679" s="56" t="s">
        <v>103</v>
      </c>
      <c r="L679" s="52" t="s">
        <v>1503</v>
      </c>
      <c r="M679" s="56" t="s">
        <v>103</v>
      </c>
      <c r="N679" s="52" t="s">
        <v>241</v>
      </c>
      <c r="O679" s="53" t="s">
        <v>1978</v>
      </c>
      <c r="P679" s="53" t="s">
        <v>1538</v>
      </c>
      <c r="Q679" s="52">
        <v>796</v>
      </c>
      <c r="R679" s="52" t="s">
        <v>1818</v>
      </c>
      <c r="S679" s="54">
        <v>9</v>
      </c>
      <c r="T679" s="54">
        <f t="shared" si="46"/>
        <v>631.79824561403507</v>
      </c>
      <c r="U679" s="54">
        <f t="shared" si="47"/>
        <v>5787.7232142857147</v>
      </c>
      <c r="V679" s="54">
        <v>6482.25</v>
      </c>
      <c r="W679" s="52"/>
      <c r="X679" s="52">
        <v>2012</v>
      </c>
      <c r="Y679" s="52"/>
    </row>
    <row r="680" spans="2:25" s="55" customFormat="1" ht="114.75" outlineLevel="1">
      <c r="B680" s="52" t="s">
        <v>1393</v>
      </c>
      <c r="C680" s="78" t="s">
        <v>246</v>
      </c>
      <c r="D680" s="128" t="s">
        <v>265</v>
      </c>
      <c r="E680" s="56" t="s">
        <v>149</v>
      </c>
      <c r="F680" s="57" t="s">
        <v>1453</v>
      </c>
      <c r="G680" s="57"/>
      <c r="H680" s="52" t="s">
        <v>243</v>
      </c>
      <c r="I680" s="52">
        <v>10</v>
      </c>
      <c r="J680" s="52">
        <v>590000000</v>
      </c>
      <c r="K680" s="56" t="s">
        <v>103</v>
      </c>
      <c r="L680" s="52" t="s">
        <v>1503</v>
      </c>
      <c r="M680" s="56" t="s">
        <v>103</v>
      </c>
      <c r="N680" s="52" t="s">
        <v>241</v>
      </c>
      <c r="O680" s="53" t="s">
        <v>1978</v>
      </c>
      <c r="P680" s="53" t="s">
        <v>1538</v>
      </c>
      <c r="Q680" s="52">
        <v>796</v>
      </c>
      <c r="R680" s="52" t="s">
        <v>1818</v>
      </c>
      <c r="S680" s="54">
        <v>108</v>
      </c>
      <c r="T680" s="54">
        <f t="shared" si="46"/>
        <v>28.289473684210527</v>
      </c>
      <c r="U680" s="54">
        <f t="shared" si="47"/>
        <v>3109.8214285714284</v>
      </c>
      <c r="V680" s="54">
        <v>3483</v>
      </c>
      <c r="W680" s="52"/>
      <c r="X680" s="52">
        <v>2012</v>
      </c>
      <c r="Y680" s="52"/>
    </row>
    <row r="681" spans="2:25" s="55" customFormat="1" ht="165.75" outlineLevel="1">
      <c r="B681" s="52" t="s">
        <v>1394</v>
      </c>
      <c r="C681" s="78" t="s">
        <v>246</v>
      </c>
      <c r="D681" s="77">
        <v>27015</v>
      </c>
      <c r="E681" s="56" t="s">
        <v>2325</v>
      </c>
      <c r="F681" s="56" t="s">
        <v>2324</v>
      </c>
      <c r="G681" s="56"/>
      <c r="H681" s="52" t="s">
        <v>243</v>
      </c>
      <c r="I681" s="52">
        <v>10</v>
      </c>
      <c r="J681" s="52">
        <v>510000000</v>
      </c>
      <c r="K681" s="56" t="s">
        <v>104</v>
      </c>
      <c r="L681" s="52" t="s">
        <v>1503</v>
      </c>
      <c r="M681" s="56" t="s">
        <v>104</v>
      </c>
      <c r="N681" s="52" t="s">
        <v>241</v>
      </c>
      <c r="O681" s="53" t="s">
        <v>1978</v>
      </c>
      <c r="P681" s="53" t="s">
        <v>1538</v>
      </c>
      <c r="Q681" s="52">
        <v>5111</v>
      </c>
      <c r="R681" s="52" t="s">
        <v>1434</v>
      </c>
      <c r="S681" s="54">
        <v>288</v>
      </c>
      <c r="T681" s="54">
        <f t="shared" si="46"/>
        <v>565.78947368421041</v>
      </c>
      <c r="U681" s="54">
        <f t="shared" si="47"/>
        <v>165857.14285714287</v>
      </c>
      <c r="V681" s="54">
        <v>185760</v>
      </c>
      <c r="W681" s="52"/>
      <c r="X681" s="52">
        <v>2012</v>
      </c>
      <c r="Y681" s="52"/>
    </row>
    <row r="682" spans="2:25" s="55" customFormat="1" ht="114.75" outlineLevel="1">
      <c r="B682" s="52" t="s">
        <v>1395</v>
      </c>
      <c r="C682" s="78" t="s">
        <v>246</v>
      </c>
      <c r="D682" s="56" t="s">
        <v>263</v>
      </c>
      <c r="E682" s="56" t="s">
        <v>130</v>
      </c>
      <c r="F682" s="56" t="s">
        <v>1438</v>
      </c>
      <c r="G682" s="56"/>
      <c r="H682" s="52" t="s">
        <v>243</v>
      </c>
      <c r="I682" s="52">
        <v>10</v>
      </c>
      <c r="J682" s="52">
        <v>510000000</v>
      </c>
      <c r="K682" s="56" t="s">
        <v>104</v>
      </c>
      <c r="L682" s="52" t="s">
        <v>1503</v>
      </c>
      <c r="M682" s="56" t="s">
        <v>104</v>
      </c>
      <c r="N682" s="52" t="s">
        <v>241</v>
      </c>
      <c r="O682" s="53" t="s">
        <v>1978</v>
      </c>
      <c r="P682" s="53" t="s">
        <v>1538</v>
      </c>
      <c r="Q682" s="52">
        <v>736</v>
      </c>
      <c r="R682" s="52" t="s">
        <v>1435</v>
      </c>
      <c r="S682" s="54">
        <v>24</v>
      </c>
      <c r="T682" s="54">
        <f t="shared" si="46"/>
        <v>216.88596491228068</v>
      </c>
      <c r="U682" s="54">
        <f t="shared" si="47"/>
        <v>5298.2142857142853</v>
      </c>
      <c r="V682" s="54">
        <v>5934</v>
      </c>
      <c r="W682" s="52"/>
      <c r="X682" s="52">
        <v>2012</v>
      </c>
      <c r="Y682" s="52"/>
    </row>
    <row r="683" spans="2:25" s="55" customFormat="1" ht="114.75" outlineLevel="1">
      <c r="B683" s="52" t="s">
        <v>1396</v>
      </c>
      <c r="C683" s="78" t="s">
        <v>246</v>
      </c>
      <c r="D683" s="128" t="s">
        <v>265</v>
      </c>
      <c r="E683" s="56" t="s">
        <v>131</v>
      </c>
      <c r="F683" s="53" t="s">
        <v>1456</v>
      </c>
      <c r="G683" s="53"/>
      <c r="H683" s="52" t="s">
        <v>243</v>
      </c>
      <c r="I683" s="52">
        <v>10</v>
      </c>
      <c r="J683" s="52">
        <v>510000000</v>
      </c>
      <c r="K683" s="56" t="s">
        <v>104</v>
      </c>
      <c r="L683" s="52" t="s">
        <v>1503</v>
      </c>
      <c r="M683" s="56" t="s">
        <v>104</v>
      </c>
      <c r="N683" s="52" t="s">
        <v>241</v>
      </c>
      <c r="O683" s="53" t="s">
        <v>1978</v>
      </c>
      <c r="P683" s="53" t="s">
        <v>1538</v>
      </c>
      <c r="Q683" s="52">
        <v>796</v>
      </c>
      <c r="R683" s="52" t="s">
        <v>1818</v>
      </c>
      <c r="S683" s="54">
        <v>48</v>
      </c>
      <c r="T683" s="54">
        <f t="shared" si="46"/>
        <v>103.72807017543859</v>
      </c>
      <c r="U683" s="54">
        <f t="shared" si="47"/>
        <v>5067.8571428571431</v>
      </c>
      <c r="V683" s="54">
        <v>5676</v>
      </c>
      <c r="W683" s="52"/>
      <c r="X683" s="52">
        <v>2012</v>
      </c>
      <c r="Y683" s="52"/>
    </row>
    <row r="684" spans="2:25" s="55" customFormat="1" ht="114.75" outlineLevel="1">
      <c r="B684" s="52" t="s">
        <v>1397</v>
      </c>
      <c r="C684" s="78" t="s">
        <v>246</v>
      </c>
      <c r="D684" s="128" t="s">
        <v>265</v>
      </c>
      <c r="E684" s="56" t="s">
        <v>132</v>
      </c>
      <c r="F684" s="56" t="s">
        <v>1439</v>
      </c>
      <c r="G684" s="56"/>
      <c r="H684" s="52" t="s">
        <v>243</v>
      </c>
      <c r="I684" s="52">
        <v>10</v>
      </c>
      <c r="J684" s="52">
        <v>510000000</v>
      </c>
      <c r="K684" s="56" t="s">
        <v>104</v>
      </c>
      <c r="L684" s="52" t="s">
        <v>1503</v>
      </c>
      <c r="M684" s="56" t="s">
        <v>104</v>
      </c>
      <c r="N684" s="52" t="s">
        <v>241</v>
      </c>
      <c r="O684" s="53" t="s">
        <v>1978</v>
      </c>
      <c r="P684" s="53" t="s">
        <v>1538</v>
      </c>
      <c r="Q684" s="52">
        <v>796</v>
      </c>
      <c r="R684" s="52" t="s">
        <v>1818</v>
      </c>
      <c r="S684" s="54">
        <v>48</v>
      </c>
      <c r="T684" s="54">
        <f t="shared" si="46"/>
        <v>141.44736842105263</v>
      </c>
      <c r="U684" s="54">
        <f t="shared" si="47"/>
        <v>6910.7142857142862</v>
      </c>
      <c r="V684" s="54">
        <v>7740</v>
      </c>
      <c r="W684" s="52"/>
      <c r="X684" s="52">
        <v>2012</v>
      </c>
      <c r="Y684" s="52"/>
    </row>
    <row r="685" spans="2:25" s="55" customFormat="1" ht="114.75" outlineLevel="1">
      <c r="B685" s="52" t="s">
        <v>1398</v>
      </c>
      <c r="C685" s="78" t="s">
        <v>246</v>
      </c>
      <c r="D685" s="128" t="s">
        <v>265</v>
      </c>
      <c r="E685" s="56" t="s">
        <v>133</v>
      </c>
      <c r="F685" s="56" t="s">
        <v>1440</v>
      </c>
      <c r="G685" s="56"/>
      <c r="H685" s="52" t="s">
        <v>243</v>
      </c>
      <c r="I685" s="52">
        <v>10</v>
      </c>
      <c r="J685" s="52">
        <v>510000000</v>
      </c>
      <c r="K685" s="56" t="s">
        <v>104</v>
      </c>
      <c r="L685" s="52" t="s">
        <v>1503</v>
      </c>
      <c r="M685" s="56" t="s">
        <v>104</v>
      </c>
      <c r="N685" s="52" t="s">
        <v>241</v>
      </c>
      <c r="O685" s="53" t="s">
        <v>1978</v>
      </c>
      <c r="P685" s="53" t="s">
        <v>1538</v>
      </c>
      <c r="Q685" s="52">
        <v>796</v>
      </c>
      <c r="R685" s="52" t="s">
        <v>1818</v>
      </c>
      <c r="S685" s="54">
        <v>48</v>
      </c>
      <c r="T685" s="54">
        <f t="shared" si="46"/>
        <v>89.583333333333329</v>
      </c>
      <c r="U685" s="54">
        <f t="shared" si="47"/>
        <v>4376.7857142857147</v>
      </c>
      <c r="V685" s="54">
        <v>4902</v>
      </c>
      <c r="W685" s="52"/>
      <c r="X685" s="52">
        <v>2012</v>
      </c>
      <c r="Y685" s="52"/>
    </row>
    <row r="686" spans="2:25" s="55" customFormat="1" ht="114.75" outlineLevel="1">
      <c r="B686" s="52" t="s">
        <v>1399</v>
      </c>
      <c r="C686" s="78" t="s">
        <v>246</v>
      </c>
      <c r="D686" s="128" t="s">
        <v>265</v>
      </c>
      <c r="E686" s="56" t="s">
        <v>134</v>
      </c>
      <c r="F686" s="53" t="s">
        <v>1455</v>
      </c>
      <c r="G686" s="53"/>
      <c r="H686" s="52" t="s">
        <v>243</v>
      </c>
      <c r="I686" s="52">
        <v>10</v>
      </c>
      <c r="J686" s="52">
        <v>510000000</v>
      </c>
      <c r="K686" s="56" t="s">
        <v>104</v>
      </c>
      <c r="L686" s="52" t="s">
        <v>1503</v>
      </c>
      <c r="M686" s="56" t="s">
        <v>104</v>
      </c>
      <c r="N686" s="52" t="s">
        <v>241</v>
      </c>
      <c r="O686" s="53" t="s">
        <v>1978</v>
      </c>
      <c r="P686" s="53" t="s">
        <v>1538</v>
      </c>
      <c r="Q686" s="52">
        <v>704</v>
      </c>
      <c r="R686" s="52" t="s">
        <v>1436</v>
      </c>
      <c r="S686" s="54">
        <v>12</v>
      </c>
      <c r="T686" s="54">
        <f t="shared" si="46"/>
        <v>1131.578947368421</v>
      </c>
      <c r="U686" s="54">
        <f t="shared" si="47"/>
        <v>13821.428571428572</v>
      </c>
      <c r="V686" s="54">
        <v>15480</v>
      </c>
      <c r="W686" s="52"/>
      <c r="X686" s="52">
        <v>2012</v>
      </c>
      <c r="Y686" s="52"/>
    </row>
    <row r="687" spans="2:25" s="55" customFormat="1" ht="114.75" outlineLevel="1">
      <c r="B687" s="52" t="s">
        <v>1400</v>
      </c>
      <c r="C687" s="78" t="s">
        <v>246</v>
      </c>
      <c r="D687" s="128" t="s">
        <v>265</v>
      </c>
      <c r="E687" s="56" t="s">
        <v>135</v>
      </c>
      <c r="F687" s="56" t="s">
        <v>1441</v>
      </c>
      <c r="G687" s="56"/>
      <c r="H687" s="52" t="s">
        <v>243</v>
      </c>
      <c r="I687" s="52">
        <v>10</v>
      </c>
      <c r="J687" s="52">
        <v>510000000</v>
      </c>
      <c r="K687" s="56" t="s">
        <v>104</v>
      </c>
      <c r="L687" s="52" t="s">
        <v>1503</v>
      </c>
      <c r="M687" s="56" t="s">
        <v>104</v>
      </c>
      <c r="N687" s="52" t="s">
        <v>241</v>
      </c>
      <c r="O687" s="53" t="s">
        <v>1978</v>
      </c>
      <c r="P687" s="53" t="s">
        <v>1538</v>
      </c>
      <c r="Q687" s="52">
        <v>796</v>
      </c>
      <c r="R687" s="52" t="s">
        <v>1818</v>
      </c>
      <c r="S687" s="54">
        <v>288</v>
      </c>
      <c r="T687" s="54">
        <f t="shared" si="46"/>
        <v>9.4298245614035086</v>
      </c>
      <c r="U687" s="54">
        <f t="shared" si="47"/>
        <v>2764.2857142857142</v>
      </c>
      <c r="V687" s="54">
        <v>3096</v>
      </c>
      <c r="W687" s="52"/>
      <c r="X687" s="52">
        <v>2012</v>
      </c>
      <c r="Y687" s="52"/>
    </row>
    <row r="688" spans="2:25" s="55" customFormat="1" ht="114.75" outlineLevel="1">
      <c r="B688" s="52" t="s">
        <v>1401</v>
      </c>
      <c r="C688" s="78" t="s">
        <v>246</v>
      </c>
      <c r="D688" s="128" t="s">
        <v>268</v>
      </c>
      <c r="E688" s="56" t="s">
        <v>136</v>
      </c>
      <c r="F688" s="56" t="s">
        <v>1442</v>
      </c>
      <c r="G688" s="56"/>
      <c r="H688" s="52" t="s">
        <v>243</v>
      </c>
      <c r="I688" s="52">
        <v>10</v>
      </c>
      <c r="J688" s="52">
        <v>510000000</v>
      </c>
      <c r="K688" s="56" t="s">
        <v>104</v>
      </c>
      <c r="L688" s="52" t="s">
        <v>1503</v>
      </c>
      <c r="M688" s="56" t="s">
        <v>104</v>
      </c>
      <c r="N688" s="52" t="s">
        <v>241</v>
      </c>
      <c r="O688" s="53" t="s">
        <v>1978</v>
      </c>
      <c r="P688" s="53" t="s">
        <v>1538</v>
      </c>
      <c r="Q688" s="52">
        <v>796</v>
      </c>
      <c r="R688" s="52" t="s">
        <v>1818</v>
      </c>
      <c r="S688" s="54">
        <v>72</v>
      </c>
      <c r="T688" s="54">
        <f t="shared" si="46"/>
        <v>424.34210526315792</v>
      </c>
      <c r="U688" s="54">
        <f t="shared" si="47"/>
        <v>31098.214285714283</v>
      </c>
      <c r="V688" s="54">
        <v>34830</v>
      </c>
      <c r="W688" s="52"/>
      <c r="X688" s="52">
        <v>2012</v>
      </c>
      <c r="Y688" s="52"/>
    </row>
    <row r="689" spans="2:26" s="55" customFormat="1" ht="114.75" outlineLevel="1">
      <c r="B689" s="52" t="s">
        <v>1402</v>
      </c>
      <c r="C689" s="78" t="s">
        <v>246</v>
      </c>
      <c r="D689" s="128" t="s">
        <v>265</v>
      </c>
      <c r="E689" s="56" t="s">
        <v>137</v>
      </c>
      <c r="F689" s="56" t="s">
        <v>1443</v>
      </c>
      <c r="G689" s="56"/>
      <c r="H689" s="52" t="s">
        <v>243</v>
      </c>
      <c r="I689" s="52">
        <v>10</v>
      </c>
      <c r="J689" s="52">
        <v>510000000</v>
      </c>
      <c r="K689" s="56" t="s">
        <v>104</v>
      </c>
      <c r="L689" s="52" t="s">
        <v>1503</v>
      </c>
      <c r="M689" s="56" t="s">
        <v>104</v>
      </c>
      <c r="N689" s="52" t="s">
        <v>241</v>
      </c>
      <c r="O689" s="53" t="s">
        <v>1978</v>
      </c>
      <c r="P689" s="53" t="s">
        <v>1538</v>
      </c>
      <c r="Q689" s="52">
        <v>796</v>
      </c>
      <c r="R689" s="52" t="s">
        <v>1818</v>
      </c>
      <c r="S689" s="54">
        <v>72</v>
      </c>
      <c r="T689" s="54">
        <f t="shared" si="46"/>
        <v>179.16666666666666</v>
      </c>
      <c r="U689" s="54">
        <f t="shared" si="47"/>
        <v>13130.357142857141</v>
      </c>
      <c r="V689" s="54">
        <v>14706</v>
      </c>
      <c r="W689" s="52"/>
      <c r="X689" s="52">
        <v>2012</v>
      </c>
      <c r="Y689" s="52"/>
    </row>
    <row r="690" spans="2:26" s="55" customFormat="1" ht="114.75" outlineLevel="1">
      <c r="B690" s="52" t="s">
        <v>1403</v>
      </c>
      <c r="C690" s="78" t="s">
        <v>246</v>
      </c>
      <c r="D690" s="128" t="s">
        <v>265</v>
      </c>
      <c r="E690" s="56" t="s">
        <v>138</v>
      </c>
      <c r="F690" s="56" t="s">
        <v>1444</v>
      </c>
      <c r="G690" s="56"/>
      <c r="H690" s="52" t="s">
        <v>243</v>
      </c>
      <c r="I690" s="52">
        <v>10</v>
      </c>
      <c r="J690" s="52">
        <v>510000000</v>
      </c>
      <c r="K690" s="56" t="s">
        <v>104</v>
      </c>
      <c r="L690" s="52" t="s">
        <v>1503</v>
      </c>
      <c r="M690" s="56" t="s">
        <v>104</v>
      </c>
      <c r="N690" s="52" t="s">
        <v>241</v>
      </c>
      <c r="O690" s="53" t="s">
        <v>1978</v>
      </c>
      <c r="P690" s="53" t="s">
        <v>1538</v>
      </c>
      <c r="Q690" s="52">
        <v>796</v>
      </c>
      <c r="R690" s="52" t="s">
        <v>1818</v>
      </c>
      <c r="S690" s="54">
        <v>12</v>
      </c>
      <c r="T690" s="54">
        <f t="shared" si="46"/>
        <v>141.44736842105263</v>
      </c>
      <c r="U690" s="54">
        <f t="shared" si="47"/>
        <v>1727.6785714285716</v>
      </c>
      <c r="V690" s="54">
        <v>1935</v>
      </c>
      <c r="W690" s="52"/>
      <c r="X690" s="52">
        <v>2012</v>
      </c>
      <c r="Y690" s="52"/>
    </row>
    <row r="691" spans="2:26" s="55" customFormat="1" ht="114.75" outlineLevel="1">
      <c r="B691" s="52" t="s">
        <v>1404</v>
      </c>
      <c r="C691" s="78" t="s">
        <v>246</v>
      </c>
      <c r="D691" s="128" t="s">
        <v>265</v>
      </c>
      <c r="E691" s="56" t="s">
        <v>139</v>
      </c>
      <c r="F691" s="56" t="s">
        <v>1445</v>
      </c>
      <c r="G691" s="56"/>
      <c r="H691" s="52" t="s">
        <v>243</v>
      </c>
      <c r="I691" s="52">
        <v>10</v>
      </c>
      <c r="J691" s="52">
        <v>510000000</v>
      </c>
      <c r="K691" s="56" t="s">
        <v>104</v>
      </c>
      <c r="L691" s="52" t="s">
        <v>1503</v>
      </c>
      <c r="M691" s="56" t="s">
        <v>104</v>
      </c>
      <c r="N691" s="52" t="s">
        <v>241</v>
      </c>
      <c r="O691" s="53" t="s">
        <v>1978</v>
      </c>
      <c r="P691" s="53" t="s">
        <v>1538</v>
      </c>
      <c r="Q691" s="52">
        <v>796</v>
      </c>
      <c r="R691" s="52" t="s">
        <v>1818</v>
      </c>
      <c r="S691" s="54">
        <v>72</v>
      </c>
      <c r="T691" s="54">
        <f t="shared" si="46"/>
        <v>99.013157894736821</v>
      </c>
      <c r="U691" s="54">
        <f t="shared" si="47"/>
        <v>7256.25</v>
      </c>
      <c r="V691" s="54">
        <v>8127</v>
      </c>
      <c r="W691" s="52"/>
      <c r="X691" s="52">
        <v>2012</v>
      </c>
      <c r="Y691" s="52"/>
    </row>
    <row r="692" spans="2:26" s="55" customFormat="1" ht="114.75" outlineLevel="1">
      <c r="B692" s="52" t="s">
        <v>1405</v>
      </c>
      <c r="C692" s="78" t="s">
        <v>246</v>
      </c>
      <c r="D692" s="128" t="s">
        <v>265</v>
      </c>
      <c r="E692" s="56" t="s">
        <v>140</v>
      </c>
      <c r="F692" s="57" t="s">
        <v>1446</v>
      </c>
      <c r="G692" s="57"/>
      <c r="H692" s="52" t="s">
        <v>243</v>
      </c>
      <c r="I692" s="52">
        <v>10</v>
      </c>
      <c r="J692" s="52">
        <v>510000000</v>
      </c>
      <c r="K692" s="56" t="s">
        <v>104</v>
      </c>
      <c r="L692" s="52" t="s">
        <v>1503</v>
      </c>
      <c r="M692" s="56" t="s">
        <v>104</v>
      </c>
      <c r="N692" s="52" t="s">
        <v>241</v>
      </c>
      <c r="O692" s="53" t="s">
        <v>1978</v>
      </c>
      <c r="P692" s="53" t="s">
        <v>1538</v>
      </c>
      <c r="Q692" s="52">
        <v>796</v>
      </c>
      <c r="R692" s="52" t="s">
        <v>1818</v>
      </c>
      <c r="S692" s="54">
        <v>72</v>
      </c>
      <c r="T692" s="54">
        <f t="shared" si="46"/>
        <v>84.868421052631589</v>
      </c>
      <c r="U692" s="54">
        <f t="shared" si="47"/>
        <v>6219.6428571428569</v>
      </c>
      <c r="V692" s="54">
        <v>6966</v>
      </c>
      <c r="W692" s="52"/>
      <c r="X692" s="52">
        <v>2012</v>
      </c>
      <c r="Y692" s="52"/>
    </row>
    <row r="693" spans="2:26" s="55" customFormat="1" ht="114.75" outlineLevel="1">
      <c r="B693" s="52" t="s">
        <v>1406</v>
      </c>
      <c r="C693" s="78" t="s">
        <v>246</v>
      </c>
      <c r="D693" s="56" t="s">
        <v>265</v>
      </c>
      <c r="E693" s="56" t="s">
        <v>141</v>
      </c>
      <c r="F693" s="57" t="s">
        <v>1447</v>
      </c>
      <c r="G693" s="57"/>
      <c r="H693" s="52" t="s">
        <v>243</v>
      </c>
      <c r="I693" s="52">
        <v>10</v>
      </c>
      <c r="J693" s="52">
        <v>510000000</v>
      </c>
      <c r="K693" s="56" t="s">
        <v>104</v>
      </c>
      <c r="L693" s="52" t="s">
        <v>1503</v>
      </c>
      <c r="M693" s="56" t="s">
        <v>104</v>
      </c>
      <c r="N693" s="52" t="s">
        <v>241</v>
      </c>
      <c r="O693" s="53" t="s">
        <v>1978</v>
      </c>
      <c r="P693" s="53" t="s">
        <v>1538</v>
      </c>
      <c r="Q693" s="52">
        <v>796</v>
      </c>
      <c r="R693" s="52" t="s">
        <v>1818</v>
      </c>
      <c r="S693" s="54">
        <v>24</v>
      </c>
      <c r="T693" s="54">
        <f t="shared" si="46"/>
        <v>471.49122807017551</v>
      </c>
      <c r="U693" s="54">
        <f t="shared" si="47"/>
        <v>11517.857142857143</v>
      </c>
      <c r="V693" s="54">
        <v>12900</v>
      </c>
      <c r="W693" s="52"/>
      <c r="X693" s="52">
        <v>2012</v>
      </c>
      <c r="Y693" s="52"/>
    </row>
    <row r="694" spans="2:26" s="55" customFormat="1" ht="114.75" outlineLevel="1">
      <c r="B694" s="52" t="s">
        <v>1407</v>
      </c>
      <c r="C694" s="78" t="s">
        <v>246</v>
      </c>
      <c r="D694" s="56" t="s">
        <v>265</v>
      </c>
      <c r="E694" s="56" t="s">
        <v>142</v>
      </c>
      <c r="F694" s="53" t="s">
        <v>1448</v>
      </c>
      <c r="G694" s="53"/>
      <c r="H694" s="52" t="s">
        <v>243</v>
      </c>
      <c r="I694" s="52">
        <v>10</v>
      </c>
      <c r="J694" s="52">
        <v>510000000</v>
      </c>
      <c r="K694" s="56" t="s">
        <v>104</v>
      </c>
      <c r="L694" s="52" t="s">
        <v>1503</v>
      </c>
      <c r="M694" s="56" t="s">
        <v>104</v>
      </c>
      <c r="N694" s="52" t="s">
        <v>241</v>
      </c>
      <c r="O694" s="53" t="s">
        <v>1978</v>
      </c>
      <c r="P694" s="53" t="s">
        <v>1538</v>
      </c>
      <c r="Q694" s="52">
        <v>796</v>
      </c>
      <c r="R694" s="52" t="s">
        <v>1818</v>
      </c>
      <c r="S694" s="54">
        <v>48</v>
      </c>
      <c r="T694" s="54">
        <f t="shared" si="46"/>
        <v>113.1578947368421</v>
      </c>
      <c r="U694" s="54">
        <f t="shared" si="47"/>
        <v>5528.5714285714284</v>
      </c>
      <c r="V694" s="54">
        <v>6192</v>
      </c>
      <c r="W694" s="52"/>
      <c r="X694" s="52">
        <v>2012</v>
      </c>
      <c r="Y694" s="52"/>
    </row>
    <row r="695" spans="2:26" s="55" customFormat="1" ht="114.75" outlineLevel="1">
      <c r="B695" s="52" t="s">
        <v>1408</v>
      </c>
      <c r="C695" s="78" t="s">
        <v>246</v>
      </c>
      <c r="D695" s="128" t="s">
        <v>265</v>
      </c>
      <c r="E695" s="56" t="s">
        <v>143</v>
      </c>
      <c r="F695" s="56" t="s">
        <v>1449</v>
      </c>
      <c r="G695" s="56"/>
      <c r="H695" s="52" t="s">
        <v>243</v>
      </c>
      <c r="I695" s="52">
        <v>10</v>
      </c>
      <c r="J695" s="52">
        <v>510000000</v>
      </c>
      <c r="K695" s="56" t="s">
        <v>104</v>
      </c>
      <c r="L695" s="52" t="s">
        <v>1503</v>
      </c>
      <c r="M695" s="56" t="s">
        <v>104</v>
      </c>
      <c r="N695" s="52" t="s">
        <v>241</v>
      </c>
      <c r="O695" s="53" t="s">
        <v>1978</v>
      </c>
      <c r="P695" s="53" t="s">
        <v>1538</v>
      </c>
      <c r="Q695" s="52">
        <v>796</v>
      </c>
      <c r="R695" s="52" t="s">
        <v>1818</v>
      </c>
      <c r="S695" s="54">
        <v>48</v>
      </c>
      <c r="T695" s="54">
        <f t="shared" ref="T695:T702" si="48">V695/114*100/S695</f>
        <v>84.868421052631575</v>
      </c>
      <c r="U695" s="54">
        <f t="shared" si="47"/>
        <v>4146.4285714285716</v>
      </c>
      <c r="V695" s="54">
        <v>4644</v>
      </c>
      <c r="W695" s="52"/>
      <c r="X695" s="52">
        <v>2012</v>
      </c>
      <c r="Y695" s="52"/>
    </row>
    <row r="696" spans="2:26" s="55" customFormat="1" ht="114.75" outlineLevel="1">
      <c r="B696" s="52" t="s">
        <v>1409</v>
      </c>
      <c r="C696" s="78" t="s">
        <v>246</v>
      </c>
      <c r="D696" s="128" t="s">
        <v>265</v>
      </c>
      <c r="E696" s="56" t="s">
        <v>144</v>
      </c>
      <c r="F696" s="56" t="s">
        <v>1450</v>
      </c>
      <c r="G696" s="56"/>
      <c r="H696" s="52" t="s">
        <v>243</v>
      </c>
      <c r="I696" s="52">
        <v>10</v>
      </c>
      <c r="J696" s="52">
        <v>510000000</v>
      </c>
      <c r="K696" s="56" t="s">
        <v>104</v>
      </c>
      <c r="L696" s="52" t="s">
        <v>1503</v>
      </c>
      <c r="M696" s="56" t="s">
        <v>104</v>
      </c>
      <c r="N696" s="52" t="s">
        <v>241</v>
      </c>
      <c r="O696" s="53" t="s">
        <v>1978</v>
      </c>
      <c r="P696" s="53" t="s">
        <v>1538</v>
      </c>
      <c r="Q696" s="52">
        <v>796</v>
      </c>
      <c r="R696" s="52" t="s">
        <v>1818</v>
      </c>
      <c r="S696" s="54">
        <v>48</v>
      </c>
      <c r="T696" s="54">
        <f t="shared" si="48"/>
        <v>47.149122807017541</v>
      </c>
      <c r="U696" s="54">
        <f t="shared" si="47"/>
        <v>2303.5714285714284</v>
      </c>
      <c r="V696" s="54">
        <v>2580</v>
      </c>
      <c r="W696" s="52"/>
      <c r="X696" s="52">
        <v>2012</v>
      </c>
      <c r="Y696" s="52"/>
    </row>
    <row r="697" spans="2:26" s="55" customFormat="1" ht="114.75" outlineLevel="1">
      <c r="B697" s="52" t="s">
        <v>1410</v>
      </c>
      <c r="C697" s="78" t="s">
        <v>246</v>
      </c>
      <c r="D697" s="128" t="s">
        <v>265</v>
      </c>
      <c r="E697" s="56" t="s">
        <v>145</v>
      </c>
      <c r="F697" s="56" t="s">
        <v>1451</v>
      </c>
      <c r="G697" s="56"/>
      <c r="H697" s="52" t="s">
        <v>243</v>
      </c>
      <c r="I697" s="52">
        <v>10</v>
      </c>
      <c r="J697" s="52">
        <v>510000000</v>
      </c>
      <c r="K697" s="56" t="s">
        <v>104</v>
      </c>
      <c r="L697" s="52" t="s">
        <v>1503</v>
      </c>
      <c r="M697" s="56" t="s">
        <v>104</v>
      </c>
      <c r="N697" s="52" t="s">
        <v>241</v>
      </c>
      <c r="O697" s="53" t="s">
        <v>1978</v>
      </c>
      <c r="P697" s="53" t="s">
        <v>1538</v>
      </c>
      <c r="Q697" s="52">
        <v>796</v>
      </c>
      <c r="R697" s="52" t="s">
        <v>1818</v>
      </c>
      <c r="S697" s="54">
        <v>24</v>
      </c>
      <c r="T697" s="54">
        <f t="shared" si="48"/>
        <v>264.03508771929825</v>
      </c>
      <c r="U697" s="54">
        <f t="shared" si="47"/>
        <v>6450</v>
      </c>
      <c r="V697" s="54">
        <v>7224</v>
      </c>
      <c r="W697" s="52"/>
      <c r="X697" s="52">
        <v>2012</v>
      </c>
      <c r="Y697" s="52"/>
    </row>
    <row r="698" spans="2:26" s="55" customFormat="1" ht="114.75" outlineLevel="1">
      <c r="B698" s="52" t="s">
        <v>1411</v>
      </c>
      <c r="C698" s="78" t="s">
        <v>246</v>
      </c>
      <c r="D698" s="128" t="s">
        <v>265</v>
      </c>
      <c r="E698" s="56" t="s">
        <v>146</v>
      </c>
      <c r="F698" s="57" t="s">
        <v>1452</v>
      </c>
      <c r="G698" s="57"/>
      <c r="H698" s="52" t="s">
        <v>243</v>
      </c>
      <c r="I698" s="52">
        <v>10</v>
      </c>
      <c r="J698" s="52">
        <v>510000000</v>
      </c>
      <c r="K698" s="56" t="s">
        <v>104</v>
      </c>
      <c r="L698" s="52" t="s">
        <v>1503</v>
      </c>
      <c r="M698" s="56" t="s">
        <v>104</v>
      </c>
      <c r="N698" s="52" t="s">
        <v>241</v>
      </c>
      <c r="O698" s="53" t="s">
        <v>1978</v>
      </c>
      <c r="P698" s="53" t="s">
        <v>1538</v>
      </c>
      <c r="Q698" s="52">
        <v>796</v>
      </c>
      <c r="R698" s="52" t="s">
        <v>1818</v>
      </c>
      <c r="S698" s="54">
        <v>2.4000000000000004</v>
      </c>
      <c r="T698" s="54">
        <f t="shared" si="48"/>
        <v>2357.4561403508769</v>
      </c>
      <c r="U698" s="54">
        <f t="shared" si="47"/>
        <v>5758.9285714285725</v>
      </c>
      <c r="V698" s="54">
        <v>6450.0000000000009</v>
      </c>
      <c r="W698" s="52"/>
      <c r="X698" s="52">
        <v>2012</v>
      </c>
      <c r="Y698" s="52"/>
    </row>
    <row r="699" spans="2:26" s="55" customFormat="1" ht="114.75" outlineLevel="1">
      <c r="B699" s="52" t="s">
        <v>1412</v>
      </c>
      <c r="C699" s="78" t="s">
        <v>246</v>
      </c>
      <c r="D699" s="128" t="s">
        <v>265</v>
      </c>
      <c r="E699" s="56" t="s">
        <v>147</v>
      </c>
      <c r="F699" s="53" t="s">
        <v>1454</v>
      </c>
      <c r="G699" s="53"/>
      <c r="H699" s="52" t="s">
        <v>243</v>
      </c>
      <c r="I699" s="52">
        <v>10</v>
      </c>
      <c r="J699" s="52">
        <v>510000000</v>
      </c>
      <c r="K699" s="56" t="s">
        <v>104</v>
      </c>
      <c r="L699" s="52" t="s">
        <v>1503</v>
      </c>
      <c r="M699" s="56" t="s">
        <v>104</v>
      </c>
      <c r="N699" s="52" t="s">
        <v>241</v>
      </c>
      <c r="O699" s="53" t="s">
        <v>1978</v>
      </c>
      <c r="P699" s="53" t="s">
        <v>1538</v>
      </c>
      <c r="Q699" s="52">
        <v>796</v>
      </c>
      <c r="R699" s="52" t="s">
        <v>1818</v>
      </c>
      <c r="S699" s="54">
        <v>288</v>
      </c>
      <c r="T699" s="54">
        <f t="shared" si="48"/>
        <v>28.289473684210527</v>
      </c>
      <c r="U699" s="54">
        <f t="shared" si="47"/>
        <v>8292.8571428571431</v>
      </c>
      <c r="V699" s="54">
        <v>9288</v>
      </c>
      <c r="W699" s="52"/>
      <c r="X699" s="52">
        <v>2012</v>
      </c>
      <c r="Y699" s="52"/>
    </row>
    <row r="700" spans="2:26" s="55" customFormat="1" ht="114.75" outlineLevel="1">
      <c r="B700" s="52" t="s">
        <v>1413</v>
      </c>
      <c r="C700" s="78" t="s">
        <v>246</v>
      </c>
      <c r="D700" s="128" t="s">
        <v>265</v>
      </c>
      <c r="E700" s="56" t="s">
        <v>148</v>
      </c>
      <c r="F700" s="57" t="s">
        <v>148</v>
      </c>
      <c r="G700" s="57"/>
      <c r="H700" s="52" t="s">
        <v>243</v>
      </c>
      <c r="I700" s="52">
        <v>10</v>
      </c>
      <c r="J700" s="52">
        <v>510000000</v>
      </c>
      <c r="K700" s="56" t="s">
        <v>104</v>
      </c>
      <c r="L700" s="52" t="s">
        <v>1503</v>
      </c>
      <c r="M700" s="56" t="s">
        <v>104</v>
      </c>
      <c r="N700" s="52" t="s">
        <v>241</v>
      </c>
      <c r="O700" s="53" t="s">
        <v>1978</v>
      </c>
      <c r="P700" s="53" t="s">
        <v>1538</v>
      </c>
      <c r="Q700" s="52">
        <v>796</v>
      </c>
      <c r="R700" s="52" t="s">
        <v>1818</v>
      </c>
      <c r="S700" s="54">
        <v>12</v>
      </c>
      <c r="T700" s="54">
        <f t="shared" si="48"/>
        <v>631.79824561403507</v>
      </c>
      <c r="U700" s="54">
        <f t="shared" si="47"/>
        <v>7716.9642857142862</v>
      </c>
      <c r="V700" s="54">
        <v>8643</v>
      </c>
      <c r="W700" s="52"/>
      <c r="X700" s="52">
        <v>2012</v>
      </c>
      <c r="Y700" s="52"/>
    </row>
    <row r="701" spans="2:26" s="55" customFormat="1" ht="114.75" outlineLevel="1">
      <c r="B701" s="52" t="s">
        <v>1661</v>
      </c>
      <c r="C701" s="78" t="s">
        <v>246</v>
      </c>
      <c r="D701" s="128" t="s">
        <v>265</v>
      </c>
      <c r="E701" s="56" t="s">
        <v>149</v>
      </c>
      <c r="F701" s="57" t="s">
        <v>1453</v>
      </c>
      <c r="G701" s="57"/>
      <c r="H701" s="52" t="s">
        <v>243</v>
      </c>
      <c r="I701" s="52">
        <v>10</v>
      </c>
      <c r="J701" s="52">
        <v>510000000</v>
      </c>
      <c r="K701" s="56" t="s">
        <v>104</v>
      </c>
      <c r="L701" s="52" t="s">
        <v>1503</v>
      </c>
      <c r="M701" s="56" t="s">
        <v>104</v>
      </c>
      <c r="N701" s="52" t="s">
        <v>241</v>
      </c>
      <c r="O701" s="53" t="s">
        <v>1978</v>
      </c>
      <c r="P701" s="53" t="s">
        <v>1538</v>
      </c>
      <c r="Q701" s="52">
        <v>796</v>
      </c>
      <c r="R701" s="52" t="s">
        <v>1818</v>
      </c>
      <c r="S701" s="54">
        <v>144</v>
      </c>
      <c r="T701" s="54">
        <f t="shared" si="48"/>
        <v>28.289473684210527</v>
      </c>
      <c r="U701" s="54">
        <f t="shared" si="47"/>
        <v>4146.4285714285716</v>
      </c>
      <c r="V701" s="54">
        <v>4644</v>
      </c>
      <c r="W701" s="52"/>
      <c r="X701" s="52">
        <v>2012</v>
      </c>
      <c r="Y701" s="52"/>
      <c r="Z701" s="182"/>
    </row>
    <row r="702" spans="2:26" s="55" customFormat="1" ht="146.25" customHeight="1">
      <c r="B702" s="52" t="s">
        <v>1414</v>
      </c>
      <c r="C702" s="78" t="s">
        <v>246</v>
      </c>
      <c r="D702" s="52" t="s">
        <v>1968</v>
      </c>
      <c r="E702" s="56" t="s">
        <v>1511</v>
      </c>
      <c r="F702" s="53" t="s">
        <v>1510</v>
      </c>
      <c r="G702" s="53"/>
      <c r="H702" s="52" t="s">
        <v>243</v>
      </c>
      <c r="I702" s="52">
        <v>100</v>
      </c>
      <c r="J702" s="52">
        <v>751000000</v>
      </c>
      <c r="K702" s="53" t="s">
        <v>2290</v>
      </c>
      <c r="L702" s="53" t="s">
        <v>1468</v>
      </c>
      <c r="M702" s="53" t="s">
        <v>2290</v>
      </c>
      <c r="N702" s="52" t="s">
        <v>241</v>
      </c>
      <c r="O702" s="53" t="s">
        <v>1975</v>
      </c>
      <c r="P702" s="53" t="s">
        <v>1512</v>
      </c>
      <c r="Q702" s="52">
        <v>839</v>
      </c>
      <c r="R702" s="52" t="s">
        <v>348</v>
      </c>
      <c r="S702" s="54">
        <v>17</v>
      </c>
      <c r="T702" s="54">
        <f t="shared" si="48"/>
        <v>600763.83900928777</v>
      </c>
      <c r="U702" s="54">
        <f t="shared" si="47"/>
        <v>10395360</v>
      </c>
      <c r="V702" s="64">
        <f>'[1]рем ОС и НМА'!$E$21</f>
        <v>11642803.199999999</v>
      </c>
      <c r="W702" s="52"/>
      <c r="X702" s="52">
        <v>2012</v>
      </c>
      <c r="Y702" s="52"/>
    </row>
    <row r="703" spans="2:26" s="125" customFormat="1" ht="114.75">
      <c r="B703" s="52" t="s">
        <v>1415</v>
      </c>
      <c r="C703" s="78" t="s">
        <v>246</v>
      </c>
      <c r="D703" s="69" t="s">
        <v>2028</v>
      </c>
      <c r="E703" s="56" t="s">
        <v>1560</v>
      </c>
      <c r="F703" s="53" t="s">
        <v>1561</v>
      </c>
      <c r="G703" s="53"/>
      <c r="H703" s="52" t="s">
        <v>243</v>
      </c>
      <c r="I703" s="52">
        <v>50</v>
      </c>
      <c r="J703" s="52">
        <v>751000000</v>
      </c>
      <c r="K703" s="53" t="s">
        <v>2290</v>
      </c>
      <c r="L703" s="53" t="s">
        <v>1627</v>
      </c>
      <c r="M703" s="53" t="s">
        <v>2290</v>
      </c>
      <c r="N703" s="52" t="s">
        <v>241</v>
      </c>
      <c r="O703" s="53" t="s">
        <v>1627</v>
      </c>
      <c r="P703" s="53" t="s">
        <v>1538</v>
      </c>
      <c r="Q703" s="52">
        <v>868</v>
      </c>
      <c r="R703" s="52" t="s">
        <v>1820</v>
      </c>
      <c r="S703" s="52">
        <v>1375</v>
      </c>
      <c r="T703" s="54">
        <f>V703/114*100/S703</f>
        <v>350.87719298245617</v>
      </c>
      <c r="U703" s="54">
        <f t="shared" ref="U703" si="49">V703/112*100</f>
        <v>491071.42857142852</v>
      </c>
      <c r="V703" s="54">
        <v>550000</v>
      </c>
      <c r="W703" s="52"/>
      <c r="X703" s="52">
        <v>2012</v>
      </c>
      <c r="Y703" s="52"/>
      <c r="Z703" s="184"/>
    </row>
    <row r="704" spans="2:26" s="55" customFormat="1" ht="114.75" outlineLevel="1">
      <c r="B704" s="52" t="s">
        <v>1415</v>
      </c>
      <c r="C704" s="78" t="s">
        <v>246</v>
      </c>
      <c r="D704" s="69" t="s">
        <v>2028</v>
      </c>
      <c r="E704" s="56" t="s">
        <v>1560</v>
      </c>
      <c r="F704" s="53" t="s">
        <v>1561</v>
      </c>
      <c r="G704" s="53"/>
      <c r="H704" s="52" t="s">
        <v>243</v>
      </c>
      <c r="I704" s="52">
        <v>50</v>
      </c>
      <c r="J704" s="52">
        <v>751000000</v>
      </c>
      <c r="K704" s="56" t="s">
        <v>151</v>
      </c>
      <c r="L704" s="53" t="s">
        <v>1627</v>
      </c>
      <c r="M704" s="53" t="s">
        <v>1816</v>
      </c>
      <c r="N704" s="52" t="s">
        <v>241</v>
      </c>
      <c r="O704" s="53" t="s">
        <v>2029</v>
      </c>
      <c r="P704" s="53" t="s">
        <v>1538</v>
      </c>
      <c r="Q704" s="52">
        <v>868</v>
      </c>
      <c r="R704" s="52" t="s">
        <v>1820</v>
      </c>
      <c r="S704" s="52">
        <v>900</v>
      </c>
      <c r="T704" s="54">
        <f>V704/114*100/S704</f>
        <v>350.87719298245617</v>
      </c>
      <c r="U704" s="54">
        <f t="shared" si="47"/>
        <v>321428.57142857142</v>
      </c>
      <c r="V704" s="54">
        <v>360000</v>
      </c>
      <c r="W704" s="52"/>
      <c r="X704" s="52">
        <v>2012</v>
      </c>
      <c r="Y704" s="52"/>
    </row>
    <row r="705" spans="2:25" s="125" customFormat="1" ht="76.5" customHeight="1">
      <c r="B705" s="52" t="s">
        <v>1416</v>
      </c>
      <c r="C705" s="78" t="s">
        <v>246</v>
      </c>
      <c r="D705" s="128" t="s">
        <v>265</v>
      </c>
      <c r="E705" s="56" t="s">
        <v>1761</v>
      </c>
      <c r="F705" s="56" t="s">
        <v>1762</v>
      </c>
      <c r="G705" s="56"/>
      <c r="H705" s="56" t="s">
        <v>243</v>
      </c>
      <c r="I705" s="52">
        <v>50</v>
      </c>
      <c r="J705" s="52">
        <v>110000000</v>
      </c>
      <c r="K705" s="56" t="s">
        <v>125</v>
      </c>
      <c r="L705" s="52" t="s">
        <v>1471</v>
      </c>
      <c r="M705" s="56" t="s">
        <v>125</v>
      </c>
      <c r="N705" s="52" t="s">
        <v>241</v>
      </c>
      <c r="O705" s="52" t="s">
        <v>1471</v>
      </c>
      <c r="P705" s="73" t="s">
        <v>1570</v>
      </c>
      <c r="Q705" s="52">
        <v>796</v>
      </c>
      <c r="R705" s="52" t="s">
        <v>1818</v>
      </c>
      <c r="S705" s="68">
        <v>53</v>
      </c>
      <c r="T705" s="54"/>
      <c r="U705" s="54">
        <f t="shared" si="47"/>
        <v>10833.75</v>
      </c>
      <c r="V705" s="68">
        <f>[3]СВОД_ОБЩИЙ_РФ!$S$12</f>
        <v>12133.800000000001</v>
      </c>
      <c r="W705" s="52"/>
      <c r="X705" s="52">
        <v>2012</v>
      </c>
      <c r="Y705" s="126"/>
    </row>
    <row r="706" spans="2:25" s="125" customFormat="1" ht="63.75">
      <c r="B706" s="52" t="s">
        <v>1417</v>
      </c>
      <c r="C706" s="78" t="s">
        <v>246</v>
      </c>
      <c r="D706" s="128" t="s">
        <v>265</v>
      </c>
      <c r="E706" s="56" t="s">
        <v>1761</v>
      </c>
      <c r="F706" s="56" t="s">
        <v>1762</v>
      </c>
      <c r="G706" s="56"/>
      <c r="H706" s="56" t="s">
        <v>243</v>
      </c>
      <c r="I706" s="52">
        <v>50</v>
      </c>
      <c r="J706" s="52">
        <v>150000000</v>
      </c>
      <c r="K706" s="56" t="s">
        <v>126</v>
      </c>
      <c r="L706" s="52" t="s">
        <v>1503</v>
      </c>
      <c r="M706" s="56" t="s">
        <v>126</v>
      </c>
      <c r="N706" s="52" t="s">
        <v>241</v>
      </c>
      <c r="O706" s="52" t="s">
        <v>1503</v>
      </c>
      <c r="P706" s="73" t="s">
        <v>1570</v>
      </c>
      <c r="Q706" s="52">
        <v>796</v>
      </c>
      <c r="R706" s="52" t="s">
        <v>1818</v>
      </c>
      <c r="S706" s="68">
        <v>57</v>
      </c>
      <c r="T706" s="54"/>
      <c r="U706" s="54">
        <f t="shared" si="47"/>
        <v>16875</v>
      </c>
      <c r="V706" s="68">
        <f>[3]СВОД_ОБЩИЙ_РФ!$E$12</f>
        <v>18900</v>
      </c>
      <c r="W706" s="52"/>
      <c r="X706" s="52">
        <v>2012</v>
      </c>
      <c r="Y706" s="126"/>
    </row>
    <row r="707" spans="2:25" s="125" customFormat="1" ht="63.75">
      <c r="B707" s="52" t="s">
        <v>1418</v>
      </c>
      <c r="C707" s="78" t="s">
        <v>246</v>
      </c>
      <c r="D707" s="128" t="s">
        <v>265</v>
      </c>
      <c r="E707" s="56" t="s">
        <v>1761</v>
      </c>
      <c r="F707" s="56" t="s">
        <v>1762</v>
      </c>
      <c r="G707" s="56"/>
      <c r="H707" s="56" t="s">
        <v>243</v>
      </c>
      <c r="I707" s="52">
        <v>50</v>
      </c>
      <c r="J707" s="52">
        <v>190000000</v>
      </c>
      <c r="K707" s="56" t="s">
        <v>117</v>
      </c>
      <c r="L707" s="52" t="s">
        <v>1471</v>
      </c>
      <c r="M707" s="56" t="s">
        <v>117</v>
      </c>
      <c r="N707" s="52" t="s">
        <v>241</v>
      </c>
      <c r="O707" s="52" t="s">
        <v>1471</v>
      </c>
      <c r="P707" s="73" t="s">
        <v>1570</v>
      </c>
      <c r="Q707" s="52">
        <v>796</v>
      </c>
      <c r="R707" s="52" t="s">
        <v>1818</v>
      </c>
      <c r="S707" s="68">
        <v>136</v>
      </c>
      <c r="T707" s="54"/>
      <c r="U707" s="54">
        <f t="shared" si="47"/>
        <v>5491.0714285714284</v>
      </c>
      <c r="V707" s="68">
        <f>[3]СВОД_ОБЩИЙ_РФ!$R$12</f>
        <v>6150</v>
      </c>
      <c r="W707" s="52"/>
      <c r="X707" s="52">
        <v>2012</v>
      </c>
      <c r="Y707" s="126"/>
    </row>
    <row r="708" spans="2:25" s="125" customFormat="1" ht="63.75">
      <c r="B708" s="52" t="s">
        <v>1419</v>
      </c>
      <c r="C708" s="78" t="s">
        <v>246</v>
      </c>
      <c r="D708" s="128" t="s">
        <v>265</v>
      </c>
      <c r="E708" s="56" t="s">
        <v>1761</v>
      </c>
      <c r="F708" s="56" t="s">
        <v>1762</v>
      </c>
      <c r="G708" s="56"/>
      <c r="H708" s="56" t="s">
        <v>243</v>
      </c>
      <c r="I708" s="52">
        <v>10</v>
      </c>
      <c r="J708" s="52">
        <v>230000000</v>
      </c>
      <c r="K708" s="56" t="s">
        <v>118</v>
      </c>
      <c r="L708" s="52" t="s">
        <v>1503</v>
      </c>
      <c r="M708" s="56" t="s">
        <v>118</v>
      </c>
      <c r="N708" s="52" t="s">
        <v>241</v>
      </c>
      <c r="O708" s="52" t="s">
        <v>1503</v>
      </c>
      <c r="P708" s="73" t="s">
        <v>1570</v>
      </c>
      <c r="Q708" s="52">
        <v>796</v>
      </c>
      <c r="R708" s="52" t="s">
        <v>1818</v>
      </c>
      <c r="S708" s="68">
        <v>39</v>
      </c>
      <c r="T708" s="54"/>
      <c r="U708" s="54">
        <f t="shared" si="47"/>
        <v>16875</v>
      </c>
      <c r="V708" s="68">
        <f>[3]СВОД_ОБЩИЙ_РФ!$F$12</f>
        <v>18900</v>
      </c>
      <c r="W708" s="52"/>
      <c r="X708" s="52">
        <v>2012</v>
      </c>
      <c r="Y708" s="126"/>
    </row>
    <row r="709" spans="2:25" s="125" customFormat="1" ht="63.75">
      <c r="B709" s="52" t="s">
        <v>1420</v>
      </c>
      <c r="C709" s="78" t="s">
        <v>246</v>
      </c>
      <c r="D709" s="128" t="s">
        <v>265</v>
      </c>
      <c r="E709" s="56" t="s">
        <v>1761</v>
      </c>
      <c r="F709" s="56" t="s">
        <v>1762</v>
      </c>
      <c r="G709" s="56"/>
      <c r="H709" s="56" t="s">
        <v>243</v>
      </c>
      <c r="I709" s="52">
        <v>50</v>
      </c>
      <c r="J709" s="52">
        <v>630000000</v>
      </c>
      <c r="K709" s="56" t="s">
        <v>97</v>
      </c>
      <c r="L709" s="52" t="s">
        <v>1503</v>
      </c>
      <c r="M709" s="56" t="s">
        <v>97</v>
      </c>
      <c r="N709" s="52" t="s">
        <v>241</v>
      </c>
      <c r="O709" s="52" t="s">
        <v>1503</v>
      </c>
      <c r="P709" s="73" t="s">
        <v>1570</v>
      </c>
      <c r="Q709" s="52">
        <v>796</v>
      </c>
      <c r="R709" s="52" t="s">
        <v>1818</v>
      </c>
      <c r="S709" s="68">
        <v>102</v>
      </c>
      <c r="T709" s="54"/>
      <c r="U709" s="54">
        <f t="shared" si="47"/>
        <v>9107.1428571428569</v>
      </c>
      <c r="V709" s="68">
        <f>[3]СВОД_ОБЩИЙ_РФ!$Q$12</f>
        <v>10200</v>
      </c>
      <c r="W709" s="52"/>
      <c r="X709" s="52">
        <v>2012</v>
      </c>
      <c r="Y709" s="126"/>
    </row>
    <row r="710" spans="2:25" s="125" customFormat="1" ht="63.75">
      <c r="B710" s="52" t="s">
        <v>1421</v>
      </c>
      <c r="C710" s="78" t="s">
        <v>246</v>
      </c>
      <c r="D710" s="128" t="s">
        <v>265</v>
      </c>
      <c r="E710" s="56" t="s">
        <v>1761</v>
      </c>
      <c r="F710" s="56" t="s">
        <v>1762</v>
      </c>
      <c r="G710" s="56"/>
      <c r="H710" s="56" t="s">
        <v>243</v>
      </c>
      <c r="I710" s="52">
        <v>10</v>
      </c>
      <c r="J710" s="52">
        <v>310000000</v>
      </c>
      <c r="K710" s="56" t="s">
        <v>119</v>
      </c>
      <c r="L710" s="53" t="s">
        <v>2163</v>
      </c>
      <c r="M710" s="56" t="s">
        <v>119</v>
      </c>
      <c r="N710" s="52" t="s">
        <v>241</v>
      </c>
      <c r="O710" s="53" t="s">
        <v>2163</v>
      </c>
      <c r="P710" s="73" t="s">
        <v>1570</v>
      </c>
      <c r="Q710" s="52">
        <v>796</v>
      </c>
      <c r="R710" s="52" t="s">
        <v>1818</v>
      </c>
      <c r="S710" s="68">
        <v>76</v>
      </c>
      <c r="T710" s="54"/>
      <c r="U710" s="54">
        <f t="shared" si="47"/>
        <v>61914.28571428571</v>
      </c>
      <c r="V710" s="68">
        <f>[3]СВОД_ОБЩИЙ_РФ!$P$12</f>
        <v>69344</v>
      </c>
      <c r="W710" s="52"/>
      <c r="X710" s="52">
        <v>2012</v>
      </c>
      <c r="Y710" s="126"/>
    </row>
    <row r="711" spans="2:25" s="125" customFormat="1" ht="63.75">
      <c r="B711" s="52" t="s">
        <v>1422</v>
      </c>
      <c r="C711" s="78" t="s">
        <v>246</v>
      </c>
      <c r="D711" s="128" t="s">
        <v>265</v>
      </c>
      <c r="E711" s="56" t="s">
        <v>1761</v>
      </c>
      <c r="F711" s="56" t="s">
        <v>1762</v>
      </c>
      <c r="G711" s="56"/>
      <c r="H711" s="56" t="s">
        <v>243</v>
      </c>
      <c r="I711" s="52">
        <v>50</v>
      </c>
      <c r="J711" s="52">
        <v>270000000</v>
      </c>
      <c r="K711" s="56" t="s">
        <v>98</v>
      </c>
      <c r="L711" s="52" t="s">
        <v>1503</v>
      </c>
      <c r="M711" s="56" t="s">
        <v>98</v>
      </c>
      <c r="N711" s="52" t="s">
        <v>241</v>
      </c>
      <c r="O711" s="52" t="s">
        <v>1503</v>
      </c>
      <c r="P711" s="73" t="s">
        <v>1570</v>
      </c>
      <c r="Q711" s="52">
        <v>796</v>
      </c>
      <c r="R711" s="52" t="s">
        <v>1818</v>
      </c>
      <c r="S711" s="68">
        <v>44</v>
      </c>
      <c r="T711" s="54"/>
      <c r="U711" s="54">
        <f t="shared" si="47"/>
        <v>16900</v>
      </c>
      <c r="V711" s="68">
        <f>[3]СВОД_ОБЩИЙ_РФ!$O$12</f>
        <v>18928</v>
      </c>
      <c r="W711" s="52"/>
      <c r="X711" s="52">
        <v>2012</v>
      </c>
      <c r="Y711" s="126"/>
    </row>
    <row r="712" spans="2:25" s="125" customFormat="1" ht="63.75">
      <c r="B712" s="52" t="s">
        <v>1423</v>
      </c>
      <c r="C712" s="78" t="s">
        <v>246</v>
      </c>
      <c r="D712" s="128" t="s">
        <v>265</v>
      </c>
      <c r="E712" s="56" t="s">
        <v>1761</v>
      </c>
      <c r="F712" s="56" t="s">
        <v>1762</v>
      </c>
      <c r="G712" s="56"/>
      <c r="H712" s="56" t="s">
        <v>243</v>
      </c>
      <c r="I712" s="52">
        <v>50</v>
      </c>
      <c r="J712" s="52">
        <v>350000000</v>
      </c>
      <c r="K712" s="56" t="s">
        <v>120</v>
      </c>
      <c r="L712" s="52" t="s">
        <v>1503</v>
      </c>
      <c r="M712" s="56" t="s">
        <v>120</v>
      </c>
      <c r="N712" s="52" t="s">
        <v>241</v>
      </c>
      <c r="O712" s="52" t="s">
        <v>1503</v>
      </c>
      <c r="P712" s="73" t="s">
        <v>1570</v>
      </c>
      <c r="Q712" s="52">
        <v>796</v>
      </c>
      <c r="R712" s="52" t="s">
        <v>1818</v>
      </c>
      <c r="S712" s="68">
        <v>99</v>
      </c>
      <c r="T712" s="54"/>
      <c r="U712" s="54">
        <f t="shared" si="47"/>
        <v>1513.3928571428571</v>
      </c>
      <c r="V712" s="68">
        <f>[3]СВОД_ОБЩИЙ_РФ!$N$12</f>
        <v>1695</v>
      </c>
      <c r="W712" s="52"/>
      <c r="X712" s="52">
        <v>2012</v>
      </c>
      <c r="Y712" s="126"/>
    </row>
    <row r="713" spans="2:25" s="125" customFormat="1" ht="63.75">
      <c r="B713" s="52" t="s">
        <v>1424</v>
      </c>
      <c r="C713" s="78" t="s">
        <v>246</v>
      </c>
      <c r="D713" s="128" t="s">
        <v>265</v>
      </c>
      <c r="E713" s="56" t="s">
        <v>1761</v>
      </c>
      <c r="F713" s="56" t="s">
        <v>1762</v>
      </c>
      <c r="G713" s="56"/>
      <c r="H713" s="56" t="s">
        <v>243</v>
      </c>
      <c r="I713" s="52">
        <v>50</v>
      </c>
      <c r="J713" s="52">
        <v>390000000</v>
      </c>
      <c r="K713" s="56" t="s">
        <v>121</v>
      </c>
      <c r="L713" s="52" t="s">
        <v>2153</v>
      </c>
      <c r="M713" s="56" t="s">
        <v>121</v>
      </c>
      <c r="N713" s="52" t="s">
        <v>241</v>
      </c>
      <c r="O713" s="52" t="s">
        <v>2153</v>
      </c>
      <c r="P713" s="73" t="s">
        <v>1570</v>
      </c>
      <c r="Q713" s="52">
        <v>796</v>
      </c>
      <c r="R713" s="52" t="s">
        <v>1818</v>
      </c>
      <c r="S713" s="68">
        <v>64</v>
      </c>
      <c r="T713" s="54"/>
      <c r="U713" s="54">
        <f t="shared" si="47"/>
        <v>6517.8571428571431</v>
      </c>
      <c r="V713" s="68">
        <f>[3]СВОД_ОБЩИЙ_РФ!$I$12</f>
        <v>7300</v>
      </c>
      <c r="W713" s="52"/>
      <c r="X713" s="52">
        <v>2012</v>
      </c>
      <c r="Y713" s="126"/>
    </row>
    <row r="714" spans="2:25" s="125" customFormat="1" ht="63.75">
      <c r="B714" s="52" t="s">
        <v>1425</v>
      </c>
      <c r="C714" s="78" t="s">
        <v>246</v>
      </c>
      <c r="D714" s="128" t="s">
        <v>265</v>
      </c>
      <c r="E714" s="56" t="s">
        <v>1761</v>
      </c>
      <c r="F714" s="56" t="s">
        <v>1762</v>
      </c>
      <c r="G714" s="56"/>
      <c r="H714" s="56" t="s">
        <v>243</v>
      </c>
      <c r="I714" s="52">
        <v>50</v>
      </c>
      <c r="J714" s="52">
        <v>430000000</v>
      </c>
      <c r="K714" s="56" t="s">
        <v>122</v>
      </c>
      <c r="L714" s="52" t="s">
        <v>1503</v>
      </c>
      <c r="M714" s="56" t="s">
        <v>122</v>
      </c>
      <c r="N714" s="52" t="s">
        <v>241</v>
      </c>
      <c r="O714" s="52" t="s">
        <v>1503</v>
      </c>
      <c r="P714" s="73" t="s">
        <v>1570</v>
      </c>
      <c r="Q714" s="52">
        <v>796</v>
      </c>
      <c r="R714" s="52" t="s">
        <v>1818</v>
      </c>
      <c r="S714" s="68">
        <v>51</v>
      </c>
      <c r="T714" s="54"/>
      <c r="U714" s="54">
        <f t="shared" ref="U714:U760" si="50">V714/112*100</f>
        <v>15428.571428571428</v>
      </c>
      <c r="V714" s="68">
        <f>[3]СВОД_ОБЩИЙ_РФ!$H$12</f>
        <v>17280</v>
      </c>
      <c r="W714" s="52"/>
      <c r="X714" s="52">
        <v>2012</v>
      </c>
      <c r="Y714" s="126"/>
    </row>
    <row r="715" spans="2:25" s="125" customFormat="1" ht="63.75">
      <c r="B715" s="52" t="s">
        <v>1426</v>
      </c>
      <c r="C715" s="78" t="s">
        <v>246</v>
      </c>
      <c r="D715" s="128" t="s">
        <v>265</v>
      </c>
      <c r="E715" s="56" t="s">
        <v>1761</v>
      </c>
      <c r="F715" s="56" t="s">
        <v>1762</v>
      </c>
      <c r="G715" s="56"/>
      <c r="H715" s="56" t="s">
        <v>243</v>
      </c>
      <c r="I715" s="52">
        <v>50</v>
      </c>
      <c r="J715" s="52">
        <v>470000000</v>
      </c>
      <c r="K715" s="56" t="s">
        <v>123</v>
      </c>
      <c r="L715" s="52" t="s">
        <v>1503</v>
      </c>
      <c r="M715" s="56" t="s">
        <v>123</v>
      </c>
      <c r="N715" s="52" t="s">
        <v>241</v>
      </c>
      <c r="O715" s="52" t="s">
        <v>1503</v>
      </c>
      <c r="P715" s="73" t="s">
        <v>1570</v>
      </c>
      <c r="Q715" s="52">
        <v>796</v>
      </c>
      <c r="R715" s="52" t="s">
        <v>1818</v>
      </c>
      <c r="S715" s="68">
        <v>38</v>
      </c>
      <c r="T715" s="54"/>
      <c r="U715" s="54">
        <f t="shared" si="50"/>
        <v>4821.4285714285716</v>
      </c>
      <c r="V715" s="68">
        <f>[3]СВОД_ОБЩИЙ_РФ!$K$12</f>
        <v>5400</v>
      </c>
      <c r="W715" s="52"/>
      <c r="X715" s="52">
        <v>2012</v>
      </c>
      <c r="Y715" s="126"/>
    </row>
    <row r="716" spans="2:25" s="125" customFormat="1" ht="63.75">
      <c r="B716" s="52" t="s">
        <v>1427</v>
      </c>
      <c r="C716" s="78" t="s">
        <v>246</v>
      </c>
      <c r="D716" s="128" t="s">
        <v>265</v>
      </c>
      <c r="E716" s="56" t="s">
        <v>1761</v>
      </c>
      <c r="F716" s="56" t="s">
        <v>1762</v>
      </c>
      <c r="G716" s="56"/>
      <c r="H716" s="56" t="s">
        <v>243</v>
      </c>
      <c r="I716" s="52">
        <v>10</v>
      </c>
      <c r="J716" s="52">
        <v>550000000</v>
      </c>
      <c r="K716" s="56" t="s">
        <v>124</v>
      </c>
      <c r="L716" s="52" t="s">
        <v>1471</v>
      </c>
      <c r="M716" s="56" t="s">
        <v>124</v>
      </c>
      <c r="N716" s="52" t="s">
        <v>241</v>
      </c>
      <c r="O716" s="52" t="s">
        <v>1548</v>
      </c>
      <c r="P716" s="73" t="s">
        <v>1570</v>
      </c>
      <c r="Q716" s="52">
        <v>796</v>
      </c>
      <c r="R716" s="52" t="s">
        <v>1818</v>
      </c>
      <c r="S716" s="68">
        <v>54</v>
      </c>
      <c r="T716" s="54"/>
      <c r="U716" s="54">
        <f t="shared" si="50"/>
        <v>3000</v>
      </c>
      <c r="V716" s="68">
        <f>[3]СВОД_ОБЩИЙ_РФ!$J$12</f>
        <v>3360</v>
      </c>
      <c r="W716" s="52"/>
      <c r="X716" s="52">
        <v>2012</v>
      </c>
      <c r="Y716" s="126"/>
    </row>
    <row r="717" spans="2:25" s="125" customFormat="1" ht="63.75">
      <c r="B717" s="52" t="s">
        <v>1428</v>
      </c>
      <c r="C717" s="78" t="s">
        <v>246</v>
      </c>
      <c r="D717" s="128" t="s">
        <v>265</v>
      </c>
      <c r="E717" s="56" t="s">
        <v>1761</v>
      </c>
      <c r="F717" s="56" t="s">
        <v>1762</v>
      </c>
      <c r="G717" s="56"/>
      <c r="H717" s="56" t="s">
        <v>243</v>
      </c>
      <c r="I717" s="52">
        <v>50</v>
      </c>
      <c r="J717" s="52">
        <v>590000000</v>
      </c>
      <c r="K717" s="56" t="s">
        <v>103</v>
      </c>
      <c r="L717" s="52" t="s">
        <v>1503</v>
      </c>
      <c r="M717" s="56" t="s">
        <v>103</v>
      </c>
      <c r="N717" s="52" t="s">
        <v>241</v>
      </c>
      <c r="O717" s="52" t="s">
        <v>1503</v>
      </c>
      <c r="P717" s="73" t="s">
        <v>1570</v>
      </c>
      <c r="Q717" s="52">
        <v>796</v>
      </c>
      <c r="R717" s="52" t="s">
        <v>1818</v>
      </c>
      <c r="S717" s="68">
        <v>20</v>
      </c>
      <c r="T717" s="54"/>
      <c r="U717" s="54">
        <f t="shared" si="50"/>
        <v>1910.7142857142858</v>
      </c>
      <c r="V717" s="68">
        <f>[3]СВОД_ОБЩИЙ_РФ!$G$12</f>
        <v>2140</v>
      </c>
      <c r="W717" s="52"/>
      <c r="X717" s="52">
        <v>2012</v>
      </c>
      <c r="Y717" s="126"/>
    </row>
    <row r="718" spans="2:25" s="125" customFormat="1" ht="63.75">
      <c r="B718" s="52" t="s">
        <v>1429</v>
      </c>
      <c r="C718" s="78" t="s">
        <v>246</v>
      </c>
      <c r="D718" s="128" t="s">
        <v>265</v>
      </c>
      <c r="E718" s="56" t="s">
        <v>1761</v>
      </c>
      <c r="F718" s="56" t="s">
        <v>1762</v>
      </c>
      <c r="G718" s="56"/>
      <c r="H718" s="56" t="s">
        <v>243</v>
      </c>
      <c r="I718" s="52">
        <v>50</v>
      </c>
      <c r="J718" s="52">
        <v>510000000</v>
      </c>
      <c r="K718" s="56" t="s">
        <v>104</v>
      </c>
      <c r="L718" s="52" t="s">
        <v>1503</v>
      </c>
      <c r="M718" s="56" t="s">
        <v>104</v>
      </c>
      <c r="N718" s="52" t="s">
        <v>241</v>
      </c>
      <c r="O718" s="52" t="s">
        <v>1503</v>
      </c>
      <c r="P718" s="73" t="s">
        <v>1570</v>
      </c>
      <c r="Q718" s="52">
        <v>796</v>
      </c>
      <c r="R718" s="52" t="s">
        <v>1818</v>
      </c>
      <c r="S718" s="68">
        <v>187</v>
      </c>
      <c r="T718" s="54"/>
      <c r="U718" s="54">
        <f t="shared" si="50"/>
        <v>3649.4642857142858</v>
      </c>
      <c r="V718" s="68">
        <f>[3]СВОД_ОБЩИЙ_РФ!$M$12</f>
        <v>4087.4</v>
      </c>
      <c r="W718" s="52"/>
      <c r="X718" s="52">
        <v>2012</v>
      </c>
      <c r="Y718" s="126"/>
    </row>
    <row r="719" spans="2:25" s="125" customFormat="1" ht="63.75">
      <c r="B719" s="52" t="s">
        <v>1430</v>
      </c>
      <c r="C719" s="78" t="s">
        <v>246</v>
      </c>
      <c r="D719" s="128" t="s">
        <v>265</v>
      </c>
      <c r="E719" s="56" t="s">
        <v>1779</v>
      </c>
      <c r="F719" s="56" t="s">
        <v>1780</v>
      </c>
      <c r="G719" s="56"/>
      <c r="H719" s="56" t="s">
        <v>243</v>
      </c>
      <c r="I719" s="52">
        <v>50</v>
      </c>
      <c r="J719" s="52">
        <v>150000000</v>
      </c>
      <c r="K719" s="56" t="s">
        <v>126</v>
      </c>
      <c r="L719" s="52" t="s">
        <v>1503</v>
      </c>
      <c r="M719" s="56" t="s">
        <v>126</v>
      </c>
      <c r="N719" s="52" t="s">
        <v>241</v>
      </c>
      <c r="O719" s="52" t="s">
        <v>1503</v>
      </c>
      <c r="P719" s="73" t="s">
        <v>1570</v>
      </c>
      <c r="Q719" s="52">
        <v>796</v>
      </c>
      <c r="R719" s="52" t="s">
        <v>1818</v>
      </c>
      <c r="S719" s="68">
        <v>2</v>
      </c>
      <c r="T719" s="54"/>
      <c r="U719" s="54">
        <f t="shared" si="50"/>
        <v>1107.1428571428571</v>
      </c>
      <c r="V719" s="68">
        <f>[3]СВОД_ОБЩИЙ_РФ!$E$15</f>
        <v>1240</v>
      </c>
      <c r="W719" s="52"/>
      <c r="X719" s="52">
        <v>2012</v>
      </c>
      <c r="Y719" s="126"/>
    </row>
    <row r="720" spans="2:25" s="125" customFormat="1" ht="63.75">
      <c r="B720" s="52" t="s">
        <v>1431</v>
      </c>
      <c r="C720" s="78" t="s">
        <v>246</v>
      </c>
      <c r="D720" s="128" t="s">
        <v>265</v>
      </c>
      <c r="E720" s="56" t="s">
        <v>1779</v>
      </c>
      <c r="F720" s="56" t="s">
        <v>1780</v>
      </c>
      <c r="G720" s="56"/>
      <c r="H720" s="56" t="s">
        <v>243</v>
      </c>
      <c r="I720" s="52">
        <v>50</v>
      </c>
      <c r="J720" s="52">
        <v>190000000</v>
      </c>
      <c r="K720" s="56" t="s">
        <v>117</v>
      </c>
      <c r="L720" s="52" t="s">
        <v>1471</v>
      </c>
      <c r="M720" s="56" t="s">
        <v>117</v>
      </c>
      <c r="N720" s="52" t="s">
        <v>241</v>
      </c>
      <c r="O720" s="52" t="s">
        <v>1471</v>
      </c>
      <c r="P720" s="73" t="s">
        <v>1570</v>
      </c>
      <c r="Q720" s="52">
        <v>796</v>
      </c>
      <c r="R720" s="52" t="s">
        <v>1818</v>
      </c>
      <c r="S720" s="68">
        <v>2</v>
      </c>
      <c r="T720" s="54"/>
      <c r="U720" s="54">
        <f t="shared" si="50"/>
        <v>1000</v>
      </c>
      <c r="V720" s="68">
        <f>[3]СВОД_ОБЩИЙ_РФ!$R$15</f>
        <v>1120</v>
      </c>
      <c r="W720" s="52"/>
      <c r="X720" s="52">
        <v>2012</v>
      </c>
      <c r="Y720" s="126"/>
    </row>
    <row r="721" spans="2:25" s="125" customFormat="1" ht="63.75">
      <c r="B721" s="52" t="s">
        <v>1686</v>
      </c>
      <c r="C721" s="78" t="s">
        <v>246</v>
      </c>
      <c r="D721" s="128" t="s">
        <v>265</v>
      </c>
      <c r="E721" s="56" t="s">
        <v>1779</v>
      </c>
      <c r="F721" s="56" t="s">
        <v>1780</v>
      </c>
      <c r="G721" s="56"/>
      <c r="H721" s="56" t="s">
        <v>243</v>
      </c>
      <c r="I721" s="52">
        <v>50</v>
      </c>
      <c r="J721" s="52">
        <v>630000000</v>
      </c>
      <c r="K721" s="56" t="s">
        <v>97</v>
      </c>
      <c r="L721" s="52" t="s">
        <v>1503</v>
      </c>
      <c r="M721" s="56" t="s">
        <v>97</v>
      </c>
      <c r="N721" s="52" t="s">
        <v>241</v>
      </c>
      <c r="O721" s="52" t="s">
        <v>1503</v>
      </c>
      <c r="P721" s="73" t="s">
        <v>1570</v>
      </c>
      <c r="Q721" s="52">
        <v>796</v>
      </c>
      <c r="R721" s="52" t="s">
        <v>1818</v>
      </c>
      <c r="S721" s="68">
        <v>2</v>
      </c>
      <c r="T721" s="54"/>
      <c r="U721" s="54">
        <f t="shared" si="50"/>
        <v>357.14285714285717</v>
      </c>
      <c r="V721" s="68">
        <f>[3]СВОД_ОБЩИЙ_РФ!$Q$15</f>
        <v>400</v>
      </c>
      <c r="W721" s="52"/>
      <c r="X721" s="52">
        <v>2012</v>
      </c>
      <c r="Y721" s="126"/>
    </row>
    <row r="722" spans="2:25" s="125" customFormat="1" ht="63.75">
      <c r="B722" s="52" t="s">
        <v>1687</v>
      </c>
      <c r="C722" s="78" t="s">
        <v>246</v>
      </c>
      <c r="D722" s="128" t="s">
        <v>265</v>
      </c>
      <c r="E722" s="56" t="s">
        <v>1779</v>
      </c>
      <c r="F722" s="56" t="s">
        <v>1780</v>
      </c>
      <c r="G722" s="56"/>
      <c r="H722" s="56" t="s">
        <v>243</v>
      </c>
      <c r="I722" s="52">
        <v>50</v>
      </c>
      <c r="J722" s="52">
        <v>270000000</v>
      </c>
      <c r="K722" s="56" t="s">
        <v>98</v>
      </c>
      <c r="L722" s="52" t="s">
        <v>1503</v>
      </c>
      <c r="M722" s="56" t="s">
        <v>98</v>
      </c>
      <c r="N722" s="52" t="s">
        <v>241</v>
      </c>
      <c r="O722" s="52" t="s">
        <v>1503</v>
      </c>
      <c r="P722" s="73" t="s">
        <v>1570</v>
      </c>
      <c r="Q722" s="52">
        <v>796</v>
      </c>
      <c r="R722" s="52" t="s">
        <v>1818</v>
      </c>
      <c r="S722" s="68">
        <v>2</v>
      </c>
      <c r="T722" s="54"/>
      <c r="U722" s="54">
        <f t="shared" si="50"/>
        <v>1600</v>
      </c>
      <c r="V722" s="68">
        <f>[3]СВОД_ОБЩИЙ_РФ!$O$15</f>
        <v>1792</v>
      </c>
      <c r="W722" s="52"/>
      <c r="X722" s="52">
        <v>2012</v>
      </c>
      <c r="Y722" s="126"/>
    </row>
    <row r="723" spans="2:25" s="125" customFormat="1" ht="63.75">
      <c r="B723" s="52" t="s">
        <v>1688</v>
      </c>
      <c r="C723" s="78" t="s">
        <v>246</v>
      </c>
      <c r="D723" s="128" t="s">
        <v>265</v>
      </c>
      <c r="E723" s="56" t="s">
        <v>1779</v>
      </c>
      <c r="F723" s="56" t="s">
        <v>1780</v>
      </c>
      <c r="G723" s="56"/>
      <c r="H723" s="56" t="s">
        <v>243</v>
      </c>
      <c r="I723" s="52">
        <v>50</v>
      </c>
      <c r="J723" s="52">
        <v>350000000</v>
      </c>
      <c r="K723" s="56" t="s">
        <v>120</v>
      </c>
      <c r="L723" s="52" t="s">
        <v>1503</v>
      </c>
      <c r="M723" s="56" t="s">
        <v>120</v>
      </c>
      <c r="N723" s="52" t="s">
        <v>241</v>
      </c>
      <c r="O723" s="52" t="s">
        <v>1503</v>
      </c>
      <c r="P723" s="73" t="s">
        <v>1570</v>
      </c>
      <c r="Q723" s="52">
        <v>796</v>
      </c>
      <c r="R723" s="52" t="s">
        <v>1818</v>
      </c>
      <c r="S723" s="68">
        <v>2</v>
      </c>
      <c r="T723" s="54"/>
      <c r="U723" s="54">
        <f t="shared" si="50"/>
        <v>2075</v>
      </c>
      <c r="V723" s="68">
        <f>[3]СВОД_ОБЩИЙ_РФ!$N$15</f>
        <v>2324</v>
      </c>
      <c r="W723" s="52"/>
      <c r="X723" s="52">
        <v>2012</v>
      </c>
      <c r="Y723" s="126"/>
    </row>
    <row r="724" spans="2:25" s="125" customFormat="1" ht="63.75">
      <c r="B724" s="52" t="s">
        <v>1719</v>
      </c>
      <c r="C724" s="78" t="s">
        <v>246</v>
      </c>
      <c r="D724" s="128" t="s">
        <v>265</v>
      </c>
      <c r="E724" s="56" t="s">
        <v>1779</v>
      </c>
      <c r="F724" s="56" t="s">
        <v>1780</v>
      </c>
      <c r="G724" s="56"/>
      <c r="H724" s="56" t="s">
        <v>243</v>
      </c>
      <c r="I724" s="52">
        <v>50</v>
      </c>
      <c r="J724" s="52">
        <v>390000000</v>
      </c>
      <c r="K724" s="56" t="s">
        <v>121</v>
      </c>
      <c r="L724" s="52" t="s">
        <v>2153</v>
      </c>
      <c r="M724" s="56" t="s">
        <v>121</v>
      </c>
      <c r="N724" s="52" t="s">
        <v>241</v>
      </c>
      <c r="O724" s="52" t="s">
        <v>2153</v>
      </c>
      <c r="P724" s="73" t="s">
        <v>1570</v>
      </c>
      <c r="Q724" s="52">
        <v>796</v>
      </c>
      <c r="R724" s="52" t="s">
        <v>1818</v>
      </c>
      <c r="S724" s="68">
        <v>2</v>
      </c>
      <c r="T724" s="54"/>
      <c r="U724" s="54">
        <f t="shared" si="50"/>
        <v>3178.5714285714284</v>
      </c>
      <c r="V724" s="68">
        <f>[3]СВОД_ОБЩИЙ_РФ!$I$15</f>
        <v>3560</v>
      </c>
      <c r="W724" s="52"/>
      <c r="X724" s="52">
        <v>2012</v>
      </c>
      <c r="Y724" s="126"/>
    </row>
    <row r="725" spans="2:25" s="125" customFormat="1" ht="63.75">
      <c r="B725" s="52" t="s">
        <v>1720</v>
      </c>
      <c r="C725" s="78" t="s">
        <v>246</v>
      </c>
      <c r="D725" s="128" t="s">
        <v>265</v>
      </c>
      <c r="E725" s="56" t="s">
        <v>1779</v>
      </c>
      <c r="F725" s="56" t="s">
        <v>1780</v>
      </c>
      <c r="G725" s="56"/>
      <c r="H725" s="56" t="s">
        <v>243</v>
      </c>
      <c r="I725" s="52">
        <v>50</v>
      </c>
      <c r="J725" s="52">
        <v>430000000</v>
      </c>
      <c r="K725" s="56" t="s">
        <v>122</v>
      </c>
      <c r="L725" s="52" t="s">
        <v>1503</v>
      </c>
      <c r="M725" s="56" t="s">
        <v>122</v>
      </c>
      <c r="N725" s="52" t="s">
        <v>241</v>
      </c>
      <c r="O725" s="52" t="s">
        <v>1503</v>
      </c>
      <c r="P725" s="73" t="s">
        <v>1570</v>
      </c>
      <c r="Q725" s="52">
        <v>796</v>
      </c>
      <c r="R725" s="52" t="s">
        <v>1818</v>
      </c>
      <c r="S725" s="68">
        <v>1</v>
      </c>
      <c r="T725" s="54"/>
      <c r="U725" s="54">
        <f t="shared" si="50"/>
        <v>500</v>
      </c>
      <c r="V725" s="68">
        <f>[3]СВОД_ОБЩИЙ_РФ!$H$15</f>
        <v>560</v>
      </c>
      <c r="W725" s="52"/>
      <c r="X725" s="52">
        <v>2012</v>
      </c>
      <c r="Y725" s="126"/>
    </row>
    <row r="726" spans="2:25" s="125" customFormat="1" ht="63.75">
      <c r="B726" s="52" t="s">
        <v>1721</v>
      </c>
      <c r="C726" s="78" t="s">
        <v>246</v>
      </c>
      <c r="D726" s="128" t="s">
        <v>265</v>
      </c>
      <c r="E726" s="56" t="s">
        <v>1779</v>
      </c>
      <c r="F726" s="56" t="s">
        <v>1780</v>
      </c>
      <c r="G726" s="56"/>
      <c r="H726" s="56" t="s">
        <v>243</v>
      </c>
      <c r="I726" s="52">
        <v>50</v>
      </c>
      <c r="J726" s="52">
        <v>470000000</v>
      </c>
      <c r="K726" s="56" t="s">
        <v>123</v>
      </c>
      <c r="L726" s="52" t="s">
        <v>1503</v>
      </c>
      <c r="M726" s="56" t="s">
        <v>123</v>
      </c>
      <c r="N726" s="52" t="s">
        <v>241</v>
      </c>
      <c r="O726" s="52" t="s">
        <v>1503</v>
      </c>
      <c r="P726" s="73" t="s">
        <v>1570</v>
      </c>
      <c r="Q726" s="52">
        <v>796</v>
      </c>
      <c r="R726" s="52" t="s">
        <v>1818</v>
      </c>
      <c r="S726" s="68">
        <v>1</v>
      </c>
      <c r="T726" s="54"/>
      <c r="U726" s="54">
        <f t="shared" si="50"/>
        <v>3482.1428571428569</v>
      </c>
      <c r="V726" s="68">
        <f>[3]СВОД_ОБЩИЙ_РФ!$K$15</f>
        <v>3900</v>
      </c>
      <c r="W726" s="52"/>
      <c r="X726" s="52">
        <v>2012</v>
      </c>
      <c r="Y726" s="126"/>
    </row>
    <row r="727" spans="2:25" s="125" customFormat="1" ht="63.75">
      <c r="B727" s="52" t="s">
        <v>1722</v>
      </c>
      <c r="C727" s="78" t="s">
        <v>246</v>
      </c>
      <c r="D727" s="128" t="s">
        <v>265</v>
      </c>
      <c r="E727" s="56" t="s">
        <v>1779</v>
      </c>
      <c r="F727" s="56" t="s">
        <v>1780</v>
      </c>
      <c r="G727" s="56"/>
      <c r="H727" s="56" t="s">
        <v>243</v>
      </c>
      <c r="I727" s="52">
        <v>10</v>
      </c>
      <c r="J727" s="52">
        <v>550000000</v>
      </c>
      <c r="K727" s="56" t="s">
        <v>124</v>
      </c>
      <c r="L727" s="52" t="s">
        <v>1471</v>
      </c>
      <c r="M727" s="56" t="s">
        <v>124</v>
      </c>
      <c r="N727" s="52" t="s">
        <v>241</v>
      </c>
      <c r="O727" s="52" t="s">
        <v>1548</v>
      </c>
      <c r="P727" s="73" t="s">
        <v>1570</v>
      </c>
      <c r="Q727" s="52">
        <v>796</v>
      </c>
      <c r="R727" s="52" t="s">
        <v>1818</v>
      </c>
      <c r="S727" s="68">
        <v>2</v>
      </c>
      <c r="T727" s="54"/>
      <c r="U727" s="54">
        <f t="shared" si="50"/>
        <v>2400</v>
      </c>
      <c r="V727" s="68">
        <f>[3]СВОД_ОБЩИЙ_РФ!$J$15</f>
        <v>2688</v>
      </c>
      <c r="W727" s="52"/>
      <c r="X727" s="52">
        <v>2012</v>
      </c>
      <c r="Y727" s="126"/>
    </row>
    <row r="728" spans="2:25" s="125" customFormat="1" ht="63.75">
      <c r="B728" s="52" t="s">
        <v>1723</v>
      </c>
      <c r="C728" s="78" t="s">
        <v>246</v>
      </c>
      <c r="D728" s="128" t="s">
        <v>265</v>
      </c>
      <c r="E728" s="56" t="s">
        <v>1779</v>
      </c>
      <c r="F728" s="56" t="s">
        <v>1780</v>
      </c>
      <c r="G728" s="56"/>
      <c r="H728" s="56" t="s">
        <v>243</v>
      </c>
      <c r="I728" s="52">
        <v>50</v>
      </c>
      <c r="J728" s="52">
        <v>590000000</v>
      </c>
      <c r="K728" s="56" t="s">
        <v>103</v>
      </c>
      <c r="L728" s="52" t="s">
        <v>1503</v>
      </c>
      <c r="M728" s="56" t="s">
        <v>103</v>
      </c>
      <c r="N728" s="52" t="s">
        <v>241</v>
      </c>
      <c r="O728" s="52" t="s">
        <v>1503</v>
      </c>
      <c r="P728" s="73" t="s">
        <v>1570</v>
      </c>
      <c r="Q728" s="52">
        <v>796</v>
      </c>
      <c r="R728" s="52" t="s">
        <v>1818</v>
      </c>
      <c r="S728" s="68">
        <v>3</v>
      </c>
      <c r="T728" s="54"/>
      <c r="U728" s="54">
        <f t="shared" si="50"/>
        <v>1834.2857142857138</v>
      </c>
      <c r="V728" s="68">
        <f>[3]СВОД_ОБЩИЙ_РФ!$G$15</f>
        <v>2054.3999999999996</v>
      </c>
      <c r="W728" s="52"/>
      <c r="X728" s="52">
        <v>2012</v>
      </c>
      <c r="Y728" s="126"/>
    </row>
    <row r="729" spans="2:25" s="125" customFormat="1" ht="63.75">
      <c r="B729" s="52" t="s">
        <v>1736</v>
      </c>
      <c r="C729" s="78" t="s">
        <v>246</v>
      </c>
      <c r="D729" s="128" t="s">
        <v>265</v>
      </c>
      <c r="E729" s="56" t="s">
        <v>1779</v>
      </c>
      <c r="F729" s="56" t="s">
        <v>1780</v>
      </c>
      <c r="G729" s="56"/>
      <c r="H729" s="56" t="s">
        <v>243</v>
      </c>
      <c r="I729" s="52">
        <v>50</v>
      </c>
      <c r="J729" s="52">
        <v>510000000</v>
      </c>
      <c r="K729" s="56" t="s">
        <v>104</v>
      </c>
      <c r="L729" s="52" t="s">
        <v>1503</v>
      </c>
      <c r="M729" s="56" t="s">
        <v>104</v>
      </c>
      <c r="N729" s="52" t="s">
        <v>241</v>
      </c>
      <c r="O729" s="52" t="s">
        <v>1503</v>
      </c>
      <c r="P729" s="73" t="s">
        <v>1570</v>
      </c>
      <c r="Q729" s="52">
        <v>796</v>
      </c>
      <c r="R729" s="52" t="s">
        <v>1818</v>
      </c>
      <c r="S729" s="68">
        <v>2</v>
      </c>
      <c r="T729" s="54"/>
      <c r="U729" s="54">
        <f t="shared" si="50"/>
        <v>691.67857142857144</v>
      </c>
      <c r="V729" s="68">
        <f>[3]СВОД_ОБЩИЙ_РФ!$M$15</f>
        <v>774.68000000000006</v>
      </c>
      <c r="W729" s="52"/>
      <c r="X729" s="52">
        <v>2012</v>
      </c>
      <c r="Y729" s="126"/>
    </row>
    <row r="730" spans="2:25" s="125" customFormat="1" ht="51">
      <c r="B730" s="52" t="s">
        <v>1737</v>
      </c>
      <c r="C730" s="78" t="s">
        <v>246</v>
      </c>
      <c r="D730" s="52" t="s">
        <v>1790</v>
      </c>
      <c r="E730" s="56" t="s">
        <v>1791</v>
      </c>
      <c r="F730" s="56" t="s">
        <v>1792</v>
      </c>
      <c r="G730" s="56"/>
      <c r="H730" s="56" t="s">
        <v>243</v>
      </c>
      <c r="I730" s="52">
        <v>50</v>
      </c>
      <c r="J730" s="52">
        <v>110000000</v>
      </c>
      <c r="K730" s="56" t="s">
        <v>125</v>
      </c>
      <c r="L730" s="52" t="s">
        <v>1471</v>
      </c>
      <c r="M730" s="56" t="s">
        <v>125</v>
      </c>
      <c r="N730" s="52" t="s">
        <v>241</v>
      </c>
      <c r="O730" s="52" t="s">
        <v>1471</v>
      </c>
      <c r="P730" s="73" t="s">
        <v>1570</v>
      </c>
      <c r="Q730" s="52">
        <v>796</v>
      </c>
      <c r="R730" s="52" t="s">
        <v>1818</v>
      </c>
      <c r="S730" s="68">
        <v>333</v>
      </c>
      <c r="T730" s="54"/>
      <c r="U730" s="54">
        <f t="shared" ref="U730:U745" si="51">V730/112*100</f>
        <v>0</v>
      </c>
      <c r="V730" s="68">
        <v>0</v>
      </c>
      <c r="W730" s="52"/>
      <c r="X730" s="52">
        <v>2012</v>
      </c>
      <c r="Y730" s="126"/>
    </row>
    <row r="731" spans="2:25" s="125" customFormat="1" ht="51">
      <c r="B731" s="52" t="s">
        <v>1738</v>
      </c>
      <c r="C731" s="78" t="s">
        <v>246</v>
      </c>
      <c r="D731" s="52" t="s">
        <v>1790</v>
      </c>
      <c r="E731" s="56" t="s">
        <v>1791</v>
      </c>
      <c r="F731" s="56" t="s">
        <v>1792</v>
      </c>
      <c r="G731" s="56"/>
      <c r="H731" s="56" t="s">
        <v>243</v>
      </c>
      <c r="I731" s="52">
        <v>50</v>
      </c>
      <c r="J731" s="52">
        <v>150000000</v>
      </c>
      <c r="K731" s="56" t="s">
        <v>126</v>
      </c>
      <c r="L731" s="52" t="s">
        <v>1503</v>
      </c>
      <c r="M731" s="56" t="s">
        <v>126</v>
      </c>
      <c r="N731" s="52" t="s">
        <v>241</v>
      </c>
      <c r="O731" s="52" t="s">
        <v>1503</v>
      </c>
      <c r="P731" s="73" t="s">
        <v>1570</v>
      </c>
      <c r="Q731" s="52">
        <v>796</v>
      </c>
      <c r="R731" s="52" t="s">
        <v>1818</v>
      </c>
      <c r="S731" s="68">
        <v>355</v>
      </c>
      <c r="T731" s="54"/>
      <c r="U731" s="54">
        <f t="shared" si="51"/>
        <v>0</v>
      </c>
      <c r="V731" s="68">
        <v>0</v>
      </c>
      <c r="W731" s="52"/>
      <c r="X731" s="52">
        <v>2012</v>
      </c>
      <c r="Y731" s="126"/>
    </row>
    <row r="732" spans="2:25" s="125" customFormat="1" ht="51">
      <c r="B732" s="52" t="s">
        <v>1739</v>
      </c>
      <c r="C732" s="78" t="s">
        <v>246</v>
      </c>
      <c r="D732" s="52" t="s">
        <v>1790</v>
      </c>
      <c r="E732" s="56" t="s">
        <v>1791</v>
      </c>
      <c r="F732" s="56" t="s">
        <v>1792</v>
      </c>
      <c r="G732" s="56"/>
      <c r="H732" s="56" t="s">
        <v>243</v>
      </c>
      <c r="I732" s="52">
        <v>50</v>
      </c>
      <c r="J732" s="52">
        <v>190000000</v>
      </c>
      <c r="K732" s="56" t="s">
        <v>117</v>
      </c>
      <c r="L732" s="52" t="s">
        <v>1471</v>
      </c>
      <c r="M732" s="56" t="s">
        <v>117</v>
      </c>
      <c r="N732" s="52" t="s">
        <v>241</v>
      </c>
      <c r="O732" s="52" t="s">
        <v>1471</v>
      </c>
      <c r="P732" s="73" t="s">
        <v>1570</v>
      </c>
      <c r="Q732" s="52">
        <v>796</v>
      </c>
      <c r="R732" s="52" t="s">
        <v>1818</v>
      </c>
      <c r="S732" s="68">
        <v>847</v>
      </c>
      <c r="T732" s="54"/>
      <c r="U732" s="54">
        <f t="shared" si="51"/>
        <v>0</v>
      </c>
      <c r="V732" s="68">
        <v>0</v>
      </c>
      <c r="W732" s="52"/>
      <c r="X732" s="52">
        <v>2012</v>
      </c>
      <c r="Y732" s="126"/>
    </row>
    <row r="733" spans="2:25" s="125" customFormat="1" ht="51">
      <c r="B733" s="52" t="s">
        <v>1740</v>
      </c>
      <c r="C733" s="78" t="s">
        <v>246</v>
      </c>
      <c r="D733" s="52" t="s">
        <v>1790</v>
      </c>
      <c r="E733" s="56" t="s">
        <v>1791</v>
      </c>
      <c r="F733" s="56" t="s">
        <v>1792</v>
      </c>
      <c r="G733" s="56"/>
      <c r="H733" s="56" t="s">
        <v>243</v>
      </c>
      <c r="I733" s="52">
        <v>50</v>
      </c>
      <c r="J733" s="52">
        <v>711000000</v>
      </c>
      <c r="K733" s="56" t="s">
        <v>151</v>
      </c>
      <c r="L733" s="52" t="s">
        <v>1503</v>
      </c>
      <c r="M733" s="53" t="s">
        <v>1816</v>
      </c>
      <c r="N733" s="52" t="s">
        <v>241</v>
      </c>
      <c r="O733" s="52" t="s">
        <v>1503</v>
      </c>
      <c r="P733" s="73" t="s">
        <v>1570</v>
      </c>
      <c r="Q733" s="52">
        <v>796</v>
      </c>
      <c r="R733" s="52" t="s">
        <v>1818</v>
      </c>
      <c r="S733" s="68">
        <v>323</v>
      </c>
      <c r="T733" s="54"/>
      <c r="U733" s="54">
        <f t="shared" si="51"/>
        <v>0</v>
      </c>
      <c r="V733" s="68">
        <v>0</v>
      </c>
      <c r="W733" s="52"/>
      <c r="X733" s="52">
        <v>2012</v>
      </c>
      <c r="Y733" s="126"/>
    </row>
    <row r="734" spans="2:25" s="125" customFormat="1" ht="51">
      <c r="B734" s="52" t="s">
        <v>1741</v>
      </c>
      <c r="C734" s="78" t="s">
        <v>246</v>
      </c>
      <c r="D734" s="52" t="s">
        <v>1790</v>
      </c>
      <c r="E734" s="56" t="s">
        <v>1791</v>
      </c>
      <c r="F734" s="56" t="s">
        <v>1792</v>
      </c>
      <c r="G734" s="56"/>
      <c r="H734" s="56" t="s">
        <v>243</v>
      </c>
      <c r="I734" s="52">
        <v>50</v>
      </c>
      <c r="J734" s="52">
        <v>751000000</v>
      </c>
      <c r="K734" s="56" t="s">
        <v>1437</v>
      </c>
      <c r="L734" s="52" t="s">
        <v>1463</v>
      </c>
      <c r="M734" s="56" t="s">
        <v>2474</v>
      </c>
      <c r="N734" s="52" t="s">
        <v>241</v>
      </c>
      <c r="O734" s="52" t="s">
        <v>2181</v>
      </c>
      <c r="P734" s="73" t="s">
        <v>1570</v>
      </c>
      <c r="Q734" s="52">
        <v>796</v>
      </c>
      <c r="R734" s="52" t="s">
        <v>1818</v>
      </c>
      <c r="S734" s="68">
        <v>656</v>
      </c>
      <c r="T734" s="54"/>
      <c r="U734" s="54">
        <f t="shared" si="51"/>
        <v>0</v>
      </c>
      <c r="V734" s="68">
        <v>0</v>
      </c>
      <c r="W734" s="52"/>
      <c r="X734" s="52">
        <v>2012</v>
      </c>
      <c r="Y734" s="126"/>
    </row>
    <row r="735" spans="2:25" s="125" customFormat="1" ht="51">
      <c r="B735" s="52" t="s">
        <v>1742</v>
      </c>
      <c r="C735" s="78" t="s">
        <v>246</v>
      </c>
      <c r="D735" s="52" t="s">
        <v>1790</v>
      </c>
      <c r="E735" s="56" t="s">
        <v>1791</v>
      </c>
      <c r="F735" s="56" t="s">
        <v>1792</v>
      </c>
      <c r="G735" s="56"/>
      <c r="H735" s="56" t="s">
        <v>243</v>
      </c>
      <c r="I735" s="52">
        <v>50</v>
      </c>
      <c r="J735" s="52">
        <v>230000000</v>
      </c>
      <c r="K735" s="56" t="s">
        <v>118</v>
      </c>
      <c r="L735" s="52" t="s">
        <v>1503</v>
      </c>
      <c r="M735" s="56" t="s">
        <v>118</v>
      </c>
      <c r="N735" s="52" t="s">
        <v>241</v>
      </c>
      <c r="O735" s="52" t="s">
        <v>1503</v>
      </c>
      <c r="P735" s="73" t="s">
        <v>1570</v>
      </c>
      <c r="Q735" s="52">
        <v>796</v>
      </c>
      <c r="R735" s="52" t="s">
        <v>1818</v>
      </c>
      <c r="S735" s="68">
        <v>243</v>
      </c>
      <c r="T735" s="54"/>
      <c r="U735" s="54">
        <f t="shared" si="51"/>
        <v>0</v>
      </c>
      <c r="V735" s="68">
        <v>0</v>
      </c>
      <c r="W735" s="52"/>
      <c r="X735" s="52">
        <v>2012</v>
      </c>
      <c r="Y735" s="126"/>
    </row>
    <row r="736" spans="2:25" s="125" customFormat="1" ht="51">
      <c r="B736" s="52" t="s">
        <v>1743</v>
      </c>
      <c r="C736" s="78" t="s">
        <v>246</v>
      </c>
      <c r="D736" s="52" t="s">
        <v>1790</v>
      </c>
      <c r="E736" s="56" t="s">
        <v>1791</v>
      </c>
      <c r="F736" s="56" t="s">
        <v>1792</v>
      </c>
      <c r="G736" s="56"/>
      <c r="H736" s="56" t="s">
        <v>243</v>
      </c>
      <c r="I736" s="52">
        <v>50</v>
      </c>
      <c r="J736" s="52">
        <v>630000000</v>
      </c>
      <c r="K736" s="56" t="s">
        <v>97</v>
      </c>
      <c r="L736" s="52" t="s">
        <v>2135</v>
      </c>
      <c r="M736" s="56" t="s">
        <v>97</v>
      </c>
      <c r="N736" s="52" t="s">
        <v>241</v>
      </c>
      <c r="O736" s="52" t="s">
        <v>2135</v>
      </c>
      <c r="P736" s="73" t="s">
        <v>1570</v>
      </c>
      <c r="Q736" s="52">
        <v>796</v>
      </c>
      <c r="R736" s="52" t="s">
        <v>1818</v>
      </c>
      <c r="S736" s="68">
        <v>634</v>
      </c>
      <c r="T736" s="54"/>
      <c r="U736" s="54">
        <f t="shared" si="51"/>
        <v>0</v>
      </c>
      <c r="V736" s="68">
        <v>0</v>
      </c>
      <c r="W736" s="52"/>
      <c r="X736" s="52">
        <v>2012</v>
      </c>
      <c r="Y736" s="126"/>
    </row>
    <row r="737" spans="2:25" s="125" customFormat="1" ht="51">
      <c r="B737" s="52" t="s">
        <v>1744</v>
      </c>
      <c r="C737" s="78" t="s">
        <v>246</v>
      </c>
      <c r="D737" s="52" t="s">
        <v>1790</v>
      </c>
      <c r="E737" s="56" t="s">
        <v>1791</v>
      </c>
      <c r="F737" s="56" t="s">
        <v>1792</v>
      </c>
      <c r="G737" s="56"/>
      <c r="H737" s="56" t="s">
        <v>243</v>
      </c>
      <c r="I737" s="52">
        <v>50</v>
      </c>
      <c r="J737" s="52">
        <v>310000000</v>
      </c>
      <c r="K737" s="56" t="s">
        <v>119</v>
      </c>
      <c r="L737" s="53" t="s">
        <v>2163</v>
      </c>
      <c r="M737" s="56" t="s">
        <v>119</v>
      </c>
      <c r="N737" s="52" t="s">
        <v>241</v>
      </c>
      <c r="O737" s="53" t="s">
        <v>2163</v>
      </c>
      <c r="P737" s="73" t="s">
        <v>1570</v>
      </c>
      <c r="Q737" s="52">
        <v>796</v>
      </c>
      <c r="R737" s="52" t="s">
        <v>1818</v>
      </c>
      <c r="S737" s="68">
        <v>475</v>
      </c>
      <c r="T737" s="54"/>
      <c r="U737" s="54">
        <f t="shared" si="51"/>
        <v>0</v>
      </c>
      <c r="V737" s="68">
        <v>0</v>
      </c>
      <c r="W737" s="52"/>
      <c r="X737" s="52">
        <v>2012</v>
      </c>
      <c r="Y737" s="126"/>
    </row>
    <row r="738" spans="2:25" s="125" customFormat="1" ht="51">
      <c r="B738" s="52" t="s">
        <v>1745</v>
      </c>
      <c r="C738" s="78" t="s">
        <v>246</v>
      </c>
      <c r="D738" s="52" t="s">
        <v>1790</v>
      </c>
      <c r="E738" s="56" t="s">
        <v>1791</v>
      </c>
      <c r="F738" s="56" t="s">
        <v>1792</v>
      </c>
      <c r="G738" s="56"/>
      <c r="H738" s="56" t="s">
        <v>243</v>
      </c>
      <c r="I738" s="52">
        <v>50</v>
      </c>
      <c r="J738" s="52">
        <v>270000000</v>
      </c>
      <c r="K738" s="56" t="s">
        <v>98</v>
      </c>
      <c r="L738" s="52" t="s">
        <v>1503</v>
      </c>
      <c r="M738" s="56" t="s">
        <v>98</v>
      </c>
      <c r="N738" s="52" t="s">
        <v>241</v>
      </c>
      <c r="O738" s="52" t="s">
        <v>1503</v>
      </c>
      <c r="P738" s="73" t="s">
        <v>1570</v>
      </c>
      <c r="Q738" s="52">
        <v>796</v>
      </c>
      <c r="R738" s="52" t="s">
        <v>1818</v>
      </c>
      <c r="S738" s="68">
        <v>277</v>
      </c>
      <c r="T738" s="54"/>
      <c r="U738" s="54">
        <f t="shared" si="51"/>
        <v>0</v>
      </c>
      <c r="V738" s="68">
        <v>0</v>
      </c>
      <c r="W738" s="52"/>
      <c r="X738" s="52">
        <v>2012</v>
      </c>
      <c r="Y738" s="126"/>
    </row>
    <row r="739" spans="2:25" s="125" customFormat="1" ht="51">
      <c r="B739" s="52" t="s">
        <v>1746</v>
      </c>
      <c r="C739" s="78" t="s">
        <v>246</v>
      </c>
      <c r="D739" s="52" t="s">
        <v>1790</v>
      </c>
      <c r="E739" s="56" t="s">
        <v>1791</v>
      </c>
      <c r="F739" s="56" t="s">
        <v>1792</v>
      </c>
      <c r="G739" s="56"/>
      <c r="H739" s="56" t="s">
        <v>243</v>
      </c>
      <c r="I739" s="52">
        <v>50</v>
      </c>
      <c r="J739" s="52">
        <v>350000000</v>
      </c>
      <c r="K739" s="56" t="s">
        <v>120</v>
      </c>
      <c r="L739" s="52" t="s">
        <v>1503</v>
      </c>
      <c r="M739" s="56" t="s">
        <v>120</v>
      </c>
      <c r="N739" s="52" t="s">
        <v>241</v>
      </c>
      <c r="O739" s="52" t="s">
        <v>1503</v>
      </c>
      <c r="P739" s="73" t="s">
        <v>1570</v>
      </c>
      <c r="Q739" s="52">
        <v>796</v>
      </c>
      <c r="R739" s="52" t="s">
        <v>1818</v>
      </c>
      <c r="S739" s="68">
        <v>615</v>
      </c>
      <c r="T739" s="54"/>
      <c r="U739" s="54">
        <f t="shared" si="51"/>
        <v>0</v>
      </c>
      <c r="V739" s="68">
        <v>0</v>
      </c>
      <c r="W739" s="52"/>
      <c r="X739" s="52">
        <v>2012</v>
      </c>
      <c r="Y739" s="126"/>
    </row>
    <row r="740" spans="2:25" s="125" customFormat="1" ht="51">
      <c r="B740" s="52" t="s">
        <v>1747</v>
      </c>
      <c r="C740" s="78" t="s">
        <v>246</v>
      </c>
      <c r="D740" s="52" t="s">
        <v>1790</v>
      </c>
      <c r="E740" s="56" t="s">
        <v>1791</v>
      </c>
      <c r="F740" s="56" t="s">
        <v>1792</v>
      </c>
      <c r="G740" s="56"/>
      <c r="H740" s="56" t="s">
        <v>243</v>
      </c>
      <c r="I740" s="52">
        <v>50</v>
      </c>
      <c r="J740" s="52">
        <v>390000000</v>
      </c>
      <c r="K740" s="56" t="s">
        <v>121</v>
      </c>
      <c r="L740" s="52" t="s">
        <v>2153</v>
      </c>
      <c r="M740" s="56" t="s">
        <v>121</v>
      </c>
      <c r="N740" s="52" t="s">
        <v>241</v>
      </c>
      <c r="O740" s="52" t="s">
        <v>2153</v>
      </c>
      <c r="P740" s="73" t="s">
        <v>1570</v>
      </c>
      <c r="Q740" s="52">
        <v>796</v>
      </c>
      <c r="R740" s="52" t="s">
        <v>1818</v>
      </c>
      <c r="S740" s="68">
        <v>400</v>
      </c>
      <c r="T740" s="54"/>
      <c r="U740" s="54">
        <f t="shared" si="51"/>
        <v>0</v>
      </c>
      <c r="V740" s="68">
        <v>0</v>
      </c>
      <c r="W740" s="52"/>
      <c r="X740" s="52">
        <v>2012</v>
      </c>
      <c r="Y740" s="126"/>
    </row>
    <row r="741" spans="2:25" s="125" customFormat="1" ht="51">
      <c r="B741" s="52" t="s">
        <v>1748</v>
      </c>
      <c r="C741" s="78" t="s">
        <v>246</v>
      </c>
      <c r="D741" s="52" t="s">
        <v>1790</v>
      </c>
      <c r="E741" s="56" t="s">
        <v>1791</v>
      </c>
      <c r="F741" s="56" t="s">
        <v>1792</v>
      </c>
      <c r="G741" s="56"/>
      <c r="H741" s="56" t="s">
        <v>243</v>
      </c>
      <c r="I741" s="52">
        <v>50</v>
      </c>
      <c r="J741" s="52">
        <v>430000000</v>
      </c>
      <c r="K741" s="56" t="s">
        <v>122</v>
      </c>
      <c r="L741" s="52" t="s">
        <v>1503</v>
      </c>
      <c r="M741" s="56" t="s">
        <v>122</v>
      </c>
      <c r="N741" s="52" t="s">
        <v>241</v>
      </c>
      <c r="O741" s="52" t="s">
        <v>1503</v>
      </c>
      <c r="P741" s="73" t="s">
        <v>1570</v>
      </c>
      <c r="Q741" s="52">
        <v>796</v>
      </c>
      <c r="R741" s="52" t="s">
        <v>1818</v>
      </c>
      <c r="S741" s="68">
        <v>320</v>
      </c>
      <c r="T741" s="54"/>
      <c r="U741" s="54">
        <f t="shared" si="51"/>
        <v>0</v>
      </c>
      <c r="V741" s="68">
        <v>0</v>
      </c>
      <c r="W741" s="52"/>
      <c r="X741" s="52">
        <v>2012</v>
      </c>
      <c r="Y741" s="126"/>
    </row>
    <row r="742" spans="2:25" s="125" customFormat="1" ht="51">
      <c r="B742" s="52" t="s">
        <v>1749</v>
      </c>
      <c r="C742" s="78" t="s">
        <v>246</v>
      </c>
      <c r="D742" s="52" t="s">
        <v>1790</v>
      </c>
      <c r="E742" s="56" t="s">
        <v>1791</v>
      </c>
      <c r="F742" s="56" t="s">
        <v>1792</v>
      </c>
      <c r="G742" s="56"/>
      <c r="H742" s="56" t="s">
        <v>243</v>
      </c>
      <c r="I742" s="52">
        <v>50</v>
      </c>
      <c r="J742" s="52">
        <v>470000000</v>
      </c>
      <c r="K742" s="56" t="s">
        <v>123</v>
      </c>
      <c r="L742" s="52" t="s">
        <v>1503</v>
      </c>
      <c r="M742" s="56" t="s">
        <v>123</v>
      </c>
      <c r="N742" s="52" t="s">
        <v>241</v>
      </c>
      <c r="O742" s="52" t="s">
        <v>1503</v>
      </c>
      <c r="P742" s="73" t="s">
        <v>1570</v>
      </c>
      <c r="Q742" s="52">
        <v>796</v>
      </c>
      <c r="R742" s="52" t="s">
        <v>1818</v>
      </c>
      <c r="S742" s="68">
        <v>241</v>
      </c>
      <c r="T742" s="54"/>
      <c r="U742" s="54">
        <f t="shared" si="51"/>
        <v>0</v>
      </c>
      <c r="V742" s="68">
        <v>0</v>
      </c>
      <c r="W742" s="52"/>
      <c r="X742" s="52">
        <v>2012</v>
      </c>
      <c r="Y742" s="126"/>
    </row>
    <row r="743" spans="2:25" s="125" customFormat="1" ht="51">
      <c r="B743" s="52" t="s">
        <v>1750</v>
      </c>
      <c r="C743" s="78" t="s">
        <v>246</v>
      </c>
      <c r="D743" s="52" t="s">
        <v>1790</v>
      </c>
      <c r="E743" s="56" t="s">
        <v>1791</v>
      </c>
      <c r="F743" s="56" t="s">
        <v>1792</v>
      </c>
      <c r="G743" s="56"/>
      <c r="H743" s="56" t="s">
        <v>243</v>
      </c>
      <c r="I743" s="52">
        <v>50</v>
      </c>
      <c r="J743" s="52">
        <v>550000000</v>
      </c>
      <c r="K743" s="56" t="s">
        <v>124</v>
      </c>
      <c r="L743" s="52" t="s">
        <v>1503</v>
      </c>
      <c r="M743" s="56" t="s">
        <v>124</v>
      </c>
      <c r="N743" s="52" t="s">
        <v>241</v>
      </c>
      <c r="O743" s="52" t="s">
        <v>1503</v>
      </c>
      <c r="P743" s="73" t="s">
        <v>1570</v>
      </c>
      <c r="Q743" s="52">
        <v>796</v>
      </c>
      <c r="R743" s="52" t="s">
        <v>1818</v>
      </c>
      <c r="S743" s="68">
        <v>339</v>
      </c>
      <c r="T743" s="54"/>
      <c r="U743" s="54">
        <f t="shared" si="51"/>
        <v>0</v>
      </c>
      <c r="V743" s="68">
        <v>0</v>
      </c>
      <c r="W743" s="52"/>
      <c r="X743" s="52">
        <v>2012</v>
      </c>
      <c r="Y743" s="126"/>
    </row>
    <row r="744" spans="2:25" s="125" customFormat="1" ht="51">
      <c r="B744" s="52" t="s">
        <v>1751</v>
      </c>
      <c r="C744" s="78" t="s">
        <v>246</v>
      </c>
      <c r="D744" s="52" t="s">
        <v>1790</v>
      </c>
      <c r="E744" s="56" t="s">
        <v>1791</v>
      </c>
      <c r="F744" s="56" t="s">
        <v>1792</v>
      </c>
      <c r="G744" s="56"/>
      <c r="H744" s="56" t="s">
        <v>243</v>
      </c>
      <c r="I744" s="52">
        <v>50</v>
      </c>
      <c r="J744" s="52">
        <v>590000000</v>
      </c>
      <c r="K744" s="56" t="s">
        <v>103</v>
      </c>
      <c r="L744" s="52" t="s">
        <v>1503</v>
      </c>
      <c r="M744" s="56" t="s">
        <v>103</v>
      </c>
      <c r="N744" s="52" t="s">
        <v>241</v>
      </c>
      <c r="O744" s="52" t="s">
        <v>1503</v>
      </c>
      <c r="P744" s="73" t="s">
        <v>1570</v>
      </c>
      <c r="Q744" s="52">
        <v>796</v>
      </c>
      <c r="R744" s="52" t="s">
        <v>1818</v>
      </c>
      <c r="S744" s="68">
        <v>267</v>
      </c>
      <c r="T744" s="54"/>
      <c r="U744" s="54">
        <f t="shared" si="51"/>
        <v>0</v>
      </c>
      <c r="V744" s="68">
        <v>0</v>
      </c>
      <c r="W744" s="52"/>
      <c r="X744" s="52">
        <v>2012</v>
      </c>
      <c r="Y744" s="126"/>
    </row>
    <row r="745" spans="2:25" s="125" customFormat="1" ht="51">
      <c r="B745" s="52" t="s">
        <v>1753</v>
      </c>
      <c r="C745" s="78" t="s">
        <v>246</v>
      </c>
      <c r="D745" s="52" t="s">
        <v>1790</v>
      </c>
      <c r="E745" s="56" t="s">
        <v>1791</v>
      </c>
      <c r="F745" s="56" t="s">
        <v>1792</v>
      </c>
      <c r="G745" s="56"/>
      <c r="H745" s="56" t="s">
        <v>243</v>
      </c>
      <c r="I745" s="52">
        <v>50</v>
      </c>
      <c r="J745" s="52">
        <v>510000000</v>
      </c>
      <c r="K745" s="56" t="s">
        <v>104</v>
      </c>
      <c r="L745" s="52" t="s">
        <v>1503</v>
      </c>
      <c r="M745" s="56" t="s">
        <v>104</v>
      </c>
      <c r="N745" s="52" t="s">
        <v>241</v>
      </c>
      <c r="O745" s="52" t="s">
        <v>1503</v>
      </c>
      <c r="P745" s="73" t="s">
        <v>1570</v>
      </c>
      <c r="Q745" s="52">
        <v>796</v>
      </c>
      <c r="R745" s="52" t="s">
        <v>1818</v>
      </c>
      <c r="S745" s="68">
        <v>1175</v>
      </c>
      <c r="T745" s="54"/>
      <c r="U745" s="54">
        <f t="shared" si="51"/>
        <v>0</v>
      </c>
      <c r="V745" s="68">
        <v>0</v>
      </c>
      <c r="W745" s="52"/>
      <c r="X745" s="52">
        <v>2012</v>
      </c>
      <c r="Y745" s="126"/>
    </row>
    <row r="746" spans="2:25" s="125" customFormat="1" ht="51">
      <c r="B746" s="52" t="s">
        <v>1760</v>
      </c>
      <c r="C746" s="78" t="s">
        <v>246</v>
      </c>
      <c r="D746" s="128" t="s">
        <v>265</v>
      </c>
      <c r="E746" s="56" t="s">
        <v>2473</v>
      </c>
      <c r="F746" s="56" t="s">
        <v>1793</v>
      </c>
      <c r="G746" s="56"/>
      <c r="H746" s="56" t="s">
        <v>243</v>
      </c>
      <c r="I746" s="52">
        <v>10</v>
      </c>
      <c r="J746" s="52">
        <v>110000000</v>
      </c>
      <c r="K746" s="56" t="s">
        <v>125</v>
      </c>
      <c r="L746" s="53" t="s">
        <v>2171</v>
      </c>
      <c r="M746" s="56" t="s">
        <v>125</v>
      </c>
      <c r="N746" s="52" t="s">
        <v>241</v>
      </c>
      <c r="O746" s="53" t="s">
        <v>2171</v>
      </c>
      <c r="P746" s="73" t="s">
        <v>1570</v>
      </c>
      <c r="Q746" s="52">
        <v>796</v>
      </c>
      <c r="R746" s="52" t="s">
        <v>1818</v>
      </c>
      <c r="S746" s="68">
        <v>1</v>
      </c>
      <c r="T746" s="54">
        <f>V746/114*100/S746</f>
        <v>33876.76315789474</v>
      </c>
      <c r="U746" s="54">
        <f t="shared" si="50"/>
        <v>34481.705357142855</v>
      </c>
      <c r="V746" s="68">
        <f>[3]СВОД_ОБЩИЙ_РФ!$S$13</f>
        <v>38619.51</v>
      </c>
      <c r="W746" s="52"/>
      <c r="X746" s="52">
        <v>2012</v>
      </c>
      <c r="Y746" s="126"/>
    </row>
    <row r="747" spans="2:25" s="125" customFormat="1" ht="51">
      <c r="B747" s="52" t="s">
        <v>1763</v>
      </c>
      <c r="C747" s="78" t="s">
        <v>246</v>
      </c>
      <c r="D747" s="128" t="s">
        <v>265</v>
      </c>
      <c r="E747" s="56" t="s">
        <v>2473</v>
      </c>
      <c r="F747" s="56" t="s">
        <v>1794</v>
      </c>
      <c r="G747" s="56"/>
      <c r="H747" s="56" t="s">
        <v>243</v>
      </c>
      <c r="I747" s="52">
        <v>50</v>
      </c>
      <c r="J747" s="52">
        <v>150000000</v>
      </c>
      <c r="K747" s="56" t="s">
        <v>126</v>
      </c>
      <c r="L747" s="52" t="s">
        <v>1503</v>
      </c>
      <c r="M747" s="56" t="s">
        <v>126</v>
      </c>
      <c r="N747" s="52" t="s">
        <v>241</v>
      </c>
      <c r="O747" s="52" t="s">
        <v>1503</v>
      </c>
      <c r="P747" s="73" t="s">
        <v>1570</v>
      </c>
      <c r="Q747" s="52">
        <v>796</v>
      </c>
      <c r="R747" s="52" t="s">
        <v>1818</v>
      </c>
      <c r="S747" s="68">
        <v>2</v>
      </c>
      <c r="T747" s="54"/>
      <c r="U747" s="54">
        <f t="shared" si="50"/>
        <v>20196.428571428572</v>
      </c>
      <c r="V747" s="68">
        <f>[3]СВОД_ОБЩИЙ_РФ!$E$13</f>
        <v>22620</v>
      </c>
      <c r="W747" s="52"/>
      <c r="X747" s="52">
        <v>2012</v>
      </c>
      <c r="Y747" s="126"/>
    </row>
    <row r="748" spans="2:25" s="125" customFormat="1" ht="51">
      <c r="B748" s="52" t="s">
        <v>1764</v>
      </c>
      <c r="C748" s="78" t="s">
        <v>246</v>
      </c>
      <c r="D748" s="128" t="s">
        <v>265</v>
      </c>
      <c r="E748" s="56" t="s">
        <v>2473</v>
      </c>
      <c r="F748" s="56" t="s">
        <v>1794</v>
      </c>
      <c r="G748" s="56"/>
      <c r="H748" s="56" t="s">
        <v>243</v>
      </c>
      <c r="I748" s="52">
        <v>10</v>
      </c>
      <c r="J748" s="52">
        <v>230000000</v>
      </c>
      <c r="K748" s="56" t="s">
        <v>118</v>
      </c>
      <c r="L748" s="52" t="s">
        <v>1503</v>
      </c>
      <c r="M748" s="56" t="s">
        <v>118</v>
      </c>
      <c r="N748" s="52" t="s">
        <v>241</v>
      </c>
      <c r="O748" s="52" t="s">
        <v>1503</v>
      </c>
      <c r="P748" s="73" t="s">
        <v>1570</v>
      </c>
      <c r="Q748" s="52">
        <v>796</v>
      </c>
      <c r="R748" s="52" t="s">
        <v>1818</v>
      </c>
      <c r="S748" s="68">
        <v>2</v>
      </c>
      <c r="T748" s="54"/>
      <c r="U748" s="54">
        <f t="shared" si="50"/>
        <v>27491.071428571428</v>
      </c>
      <c r="V748" s="68">
        <f>[3]СВОД_ОБЩИЙ_РФ!$F$13</f>
        <v>30790</v>
      </c>
      <c r="W748" s="52"/>
      <c r="X748" s="52">
        <v>2012</v>
      </c>
      <c r="Y748" s="126"/>
    </row>
    <row r="749" spans="2:25" s="125" customFormat="1" ht="51">
      <c r="B749" s="52" t="s">
        <v>1765</v>
      </c>
      <c r="C749" s="78" t="s">
        <v>246</v>
      </c>
      <c r="D749" s="128" t="s">
        <v>265</v>
      </c>
      <c r="E749" s="56" t="s">
        <v>2473</v>
      </c>
      <c r="F749" s="56" t="s">
        <v>1794</v>
      </c>
      <c r="G749" s="56"/>
      <c r="H749" s="56" t="s">
        <v>243</v>
      </c>
      <c r="I749" s="52">
        <v>50</v>
      </c>
      <c r="J749" s="52">
        <v>630000000</v>
      </c>
      <c r="K749" s="56" t="s">
        <v>97</v>
      </c>
      <c r="L749" s="52" t="s">
        <v>343</v>
      </c>
      <c r="M749" s="56" t="s">
        <v>97</v>
      </c>
      <c r="N749" s="52" t="s">
        <v>241</v>
      </c>
      <c r="O749" s="52" t="s">
        <v>343</v>
      </c>
      <c r="P749" s="73" t="s">
        <v>1570</v>
      </c>
      <c r="Q749" s="52">
        <v>796</v>
      </c>
      <c r="R749" s="52" t="s">
        <v>1818</v>
      </c>
      <c r="S749" s="68">
        <v>3</v>
      </c>
      <c r="T749" s="54"/>
      <c r="U749" s="54">
        <f t="shared" si="50"/>
        <v>38370.535714285717</v>
      </c>
      <c r="V749" s="68">
        <f>[3]СВОД_ОБЩИЙ_РФ!$Q$13</f>
        <v>42975</v>
      </c>
      <c r="W749" s="52"/>
      <c r="X749" s="52">
        <v>2012</v>
      </c>
      <c r="Y749" s="126"/>
    </row>
    <row r="750" spans="2:25" s="125" customFormat="1" ht="51">
      <c r="B750" s="52" t="s">
        <v>1766</v>
      </c>
      <c r="C750" s="78" t="s">
        <v>246</v>
      </c>
      <c r="D750" s="128" t="s">
        <v>265</v>
      </c>
      <c r="E750" s="56" t="s">
        <v>2473</v>
      </c>
      <c r="F750" s="56" t="s">
        <v>1794</v>
      </c>
      <c r="G750" s="56"/>
      <c r="H750" s="56" t="s">
        <v>243</v>
      </c>
      <c r="I750" s="52">
        <v>50</v>
      </c>
      <c r="J750" s="52">
        <v>270000000</v>
      </c>
      <c r="K750" s="56" t="s">
        <v>98</v>
      </c>
      <c r="L750" s="52" t="s">
        <v>1503</v>
      </c>
      <c r="M750" s="56" t="s">
        <v>98</v>
      </c>
      <c r="N750" s="52" t="s">
        <v>241</v>
      </c>
      <c r="O750" s="52" t="s">
        <v>1503</v>
      </c>
      <c r="P750" s="73" t="s">
        <v>1570</v>
      </c>
      <c r="Q750" s="52">
        <v>796</v>
      </c>
      <c r="R750" s="52" t="s">
        <v>1818</v>
      </c>
      <c r="S750" s="68">
        <v>4</v>
      </c>
      <c r="T750" s="54"/>
      <c r="U750" s="54">
        <f t="shared" si="50"/>
        <v>70000</v>
      </c>
      <c r="V750" s="68">
        <f>[3]СВОД_ОБЩИЙ_РФ!$O$13</f>
        <v>78400</v>
      </c>
      <c r="W750" s="52"/>
      <c r="X750" s="52">
        <v>2012</v>
      </c>
      <c r="Y750" s="126"/>
    </row>
    <row r="751" spans="2:25" s="125" customFormat="1" ht="51">
      <c r="B751" s="52" t="s">
        <v>1767</v>
      </c>
      <c r="C751" s="78" t="s">
        <v>246</v>
      </c>
      <c r="D751" s="128" t="s">
        <v>265</v>
      </c>
      <c r="E751" s="56" t="s">
        <v>2473</v>
      </c>
      <c r="F751" s="56" t="s">
        <v>1794</v>
      </c>
      <c r="G751" s="56"/>
      <c r="H751" s="56" t="s">
        <v>243</v>
      </c>
      <c r="I751" s="52">
        <v>50</v>
      </c>
      <c r="J751" s="52">
        <v>350000000</v>
      </c>
      <c r="K751" s="56" t="s">
        <v>120</v>
      </c>
      <c r="L751" s="52" t="s">
        <v>1503</v>
      </c>
      <c r="M751" s="56" t="s">
        <v>120</v>
      </c>
      <c r="N751" s="52" t="s">
        <v>241</v>
      </c>
      <c r="O751" s="52" t="s">
        <v>1503</v>
      </c>
      <c r="P751" s="73" t="s">
        <v>1570</v>
      </c>
      <c r="Q751" s="52">
        <v>796</v>
      </c>
      <c r="R751" s="52" t="s">
        <v>1818</v>
      </c>
      <c r="S751" s="68">
        <v>2</v>
      </c>
      <c r="T751" s="54"/>
      <c r="U751" s="54">
        <f t="shared" si="50"/>
        <v>22087.5</v>
      </c>
      <c r="V751" s="68">
        <f>[3]СВОД_ОБЩИЙ_РФ!$N$13</f>
        <v>24738</v>
      </c>
      <c r="W751" s="52"/>
      <c r="X751" s="52">
        <v>2012</v>
      </c>
      <c r="Y751" s="126"/>
    </row>
    <row r="752" spans="2:25" s="125" customFormat="1" ht="51">
      <c r="B752" s="52" t="s">
        <v>1768</v>
      </c>
      <c r="C752" s="78" t="s">
        <v>246</v>
      </c>
      <c r="D752" s="128" t="s">
        <v>265</v>
      </c>
      <c r="E752" s="56" t="s">
        <v>2473</v>
      </c>
      <c r="F752" s="56" t="s">
        <v>1794</v>
      </c>
      <c r="G752" s="56"/>
      <c r="H752" s="56" t="s">
        <v>243</v>
      </c>
      <c r="I752" s="52">
        <v>50</v>
      </c>
      <c r="J752" s="52">
        <v>470000000</v>
      </c>
      <c r="K752" s="56" t="s">
        <v>123</v>
      </c>
      <c r="L752" s="52" t="s">
        <v>1503</v>
      </c>
      <c r="M752" s="56" t="s">
        <v>123</v>
      </c>
      <c r="N752" s="52" t="s">
        <v>241</v>
      </c>
      <c r="O752" s="52" t="s">
        <v>1503</v>
      </c>
      <c r="P752" s="73" t="s">
        <v>1570</v>
      </c>
      <c r="Q752" s="52">
        <v>796</v>
      </c>
      <c r="R752" s="52" t="s">
        <v>1818</v>
      </c>
      <c r="S752" s="68">
        <v>3</v>
      </c>
      <c r="T752" s="54"/>
      <c r="U752" s="54">
        <f t="shared" si="50"/>
        <v>50892.857142857145</v>
      </c>
      <c r="V752" s="68">
        <f>[3]СВОД_ОБЩИЙ_РФ!$K$13</f>
        <v>57000</v>
      </c>
      <c r="W752" s="52"/>
      <c r="X752" s="52">
        <v>2012</v>
      </c>
      <c r="Y752" s="126"/>
    </row>
    <row r="753" spans="1:254" s="125" customFormat="1" ht="51">
      <c r="B753" s="52" t="s">
        <v>1769</v>
      </c>
      <c r="C753" s="78" t="s">
        <v>246</v>
      </c>
      <c r="D753" s="128" t="s">
        <v>265</v>
      </c>
      <c r="E753" s="56" t="s">
        <v>2473</v>
      </c>
      <c r="F753" s="56" t="s">
        <v>1794</v>
      </c>
      <c r="G753" s="56"/>
      <c r="H753" s="56" t="s">
        <v>243</v>
      </c>
      <c r="I753" s="52">
        <v>10</v>
      </c>
      <c r="J753" s="52">
        <v>550000000</v>
      </c>
      <c r="K753" s="56" t="s">
        <v>124</v>
      </c>
      <c r="L753" s="52" t="s">
        <v>1471</v>
      </c>
      <c r="M753" s="56" t="s">
        <v>124</v>
      </c>
      <c r="N753" s="52" t="s">
        <v>241</v>
      </c>
      <c r="O753" s="52" t="s">
        <v>1548</v>
      </c>
      <c r="P753" s="73" t="s">
        <v>1570</v>
      </c>
      <c r="Q753" s="52">
        <v>796</v>
      </c>
      <c r="R753" s="52" t="s">
        <v>1818</v>
      </c>
      <c r="S753" s="68">
        <v>3</v>
      </c>
      <c r="T753" s="54"/>
      <c r="U753" s="54">
        <f t="shared" si="50"/>
        <v>50000</v>
      </c>
      <c r="V753" s="68">
        <f>[3]СВОД_ОБЩИЙ_РФ!$J$13</f>
        <v>56000</v>
      </c>
      <c r="W753" s="52"/>
      <c r="X753" s="52">
        <v>2012</v>
      </c>
      <c r="Y753" s="126"/>
    </row>
    <row r="754" spans="1:254" s="125" customFormat="1" ht="51">
      <c r="B754" s="52" t="s">
        <v>1770</v>
      </c>
      <c r="C754" s="78" t="s">
        <v>246</v>
      </c>
      <c r="D754" s="128" t="s">
        <v>265</v>
      </c>
      <c r="E754" s="56" t="s">
        <v>2473</v>
      </c>
      <c r="F754" s="56" t="s">
        <v>1794</v>
      </c>
      <c r="G754" s="56"/>
      <c r="H754" s="56" t="s">
        <v>243</v>
      </c>
      <c r="I754" s="52">
        <v>50</v>
      </c>
      <c r="J754" s="52">
        <v>590000000</v>
      </c>
      <c r="K754" s="56" t="s">
        <v>103</v>
      </c>
      <c r="L754" s="52" t="s">
        <v>1503</v>
      </c>
      <c r="M754" s="56" t="s">
        <v>103</v>
      </c>
      <c r="N754" s="52" t="s">
        <v>241</v>
      </c>
      <c r="O754" s="52" t="s">
        <v>1503</v>
      </c>
      <c r="P754" s="73" t="s">
        <v>1570</v>
      </c>
      <c r="Q754" s="52">
        <v>796</v>
      </c>
      <c r="R754" s="52" t="s">
        <v>1818</v>
      </c>
      <c r="S754" s="68">
        <v>1</v>
      </c>
      <c r="T754" s="54"/>
      <c r="U754" s="54">
        <f t="shared" si="50"/>
        <v>23986.151785714286</v>
      </c>
      <c r="V754" s="68">
        <f>[3]СВОД_ОБЩИЙ_РФ!$G$13</f>
        <v>26864.49</v>
      </c>
      <c r="W754" s="52"/>
      <c r="X754" s="52">
        <v>2012</v>
      </c>
      <c r="Y754" s="126"/>
    </row>
    <row r="755" spans="1:254" s="125" customFormat="1" ht="51">
      <c r="B755" s="52" t="s">
        <v>1771</v>
      </c>
      <c r="C755" s="78" t="s">
        <v>246</v>
      </c>
      <c r="D755" s="128" t="s">
        <v>265</v>
      </c>
      <c r="E755" s="56" t="s">
        <v>2473</v>
      </c>
      <c r="F755" s="56" t="s">
        <v>1794</v>
      </c>
      <c r="G755" s="56"/>
      <c r="H755" s="56" t="s">
        <v>243</v>
      </c>
      <c r="I755" s="52">
        <v>50</v>
      </c>
      <c r="J755" s="52">
        <v>510000000</v>
      </c>
      <c r="K755" s="56" t="s">
        <v>104</v>
      </c>
      <c r="L755" s="52" t="s">
        <v>1503</v>
      </c>
      <c r="M755" s="56" t="s">
        <v>104</v>
      </c>
      <c r="N755" s="52" t="s">
        <v>241</v>
      </c>
      <c r="O755" s="52" t="s">
        <v>1503</v>
      </c>
      <c r="P755" s="73" t="s">
        <v>1570</v>
      </c>
      <c r="Q755" s="52">
        <v>796</v>
      </c>
      <c r="R755" s="52" t="s">
        <v>1818</v>
      </c>
      <c r="S755" s="68">
        <v>4</v>
      </c>
      <c r="T755" s="54"/>
      <c r="U755" s="54">
        <f t="shared" si="50"/>
        <v>58830.892857142862</v>
      </c>
      <c r="V755" s="68">
        <f>[3]СВОД_ОБЩИЙ_РФ!$M$13</f>
        <v>65890.600000000006</v>
      </c>
      <c r="W755" s="52"/>
      <c r="X755" s="52">
        <v>2012</v>
      </c>
      <c r="Y755" s="126"/>
    </row>
    <row r="756" spans="1:254" s="125" customFormat="1" ht="51">
      <c r="B756" s="52" t="s">
        <v>1772</v>
      </c>
      <c r="C756" s="78" t="s">
        <v>246</v>
      </c>
      <c r="D756" s="128" t="s">
        <v>2327</v>
      </c>
      <c r="E756" s="56" t="s">
        <v>2328</v>
      </c>
      <c r="F756" s="56" t="s">
        <v>2299</v>
      </c>
      <c r="G756" s="56"/>
      <c r="H756" s="56" t="s">
        <v>243</v>
      </c>
      <c r="I756" s="52">
        <v>0</v>
      </c>
      <c r="J756" s="52">
        <v>110000000</v>
      </c>
      <c r="K756" s="56" t="s">
        <v>125</v>
      </c>
      <c r="L756" s="52" t="s">
        <v>1471</v>
      </c>
      <c r="M756" s="56" t="s">
        <v>125</v>
      </c>
      <c r="N756" s="52" t="s">
        <v>241</v>
      </c>
      <c r="O756" s="52" t="s">
        <v>1471</v>
      </c>
      <c r="P756" s="73" t="s">
        <v>1570</v>
      </c>
      <c r="Q756" s="52">
        <v>796</v>
      </c>
      <c r="R756" s="52" t="s">
        <v>1818</v>
      </c>
      <c r="S756" s="68">
        <v>1</v>
      </c>
      <c r="T756" s="54">
        <f>V756/114*100/S756</f>
        <v>16875.964912280706</v>
      </c>
      <c r="U756" s="54">
        <f t="shared" si="50"/>
        <v>17177.321428571431</v>
      </c>
      <c r="V756" s="68">
        <f>[3]СВОД_ОБЩИЙ_РФ!$S$14</f>
        <v>19238.600000000002</v>
      </c>
      <c r="W756" s="52"/>
      <c r="X756" s="52">
        <v>2012</v>
      </c>
      <c r="Y756" s="126"/>
    </row>
    <row r="757" spans="1:254" s="125" customFormat="1" ht="51">
      <c r="B757" s="52" t="s">
        <v>1773</v>
      </c>
      <c r="C757" s="78" t="s">
        <v>246</v>
      </c>
      <c r="D757" s="128" t="s">
        <v>2327</v>
      </c>
      <c r="E757" s="56" t="s">
        <v>2328</v>
      </c>
      <c r="F757" s="56" t="s">
        <v>2030</v>
      </c>
      <c r="G757" s="56"/>
      <c r="H757" s="56" t="s">
        <v>243</v>
      </c>
      <c r="I757" s="52">
        <v>0</v>
      </c>
      <c r="J757" s="52">
        <v>390000000</v>
      </c>
      <c r="K757" s="56" t="s">
        <v>121</v>
      </c>
      <c r="L757" s="52" t="s">
        <v>2153</v>
      </c>
      <c r="M757" s="56" t="s">
        <v>121</v>
      </c>
      <c r="N757" s="52" t="s">
        <v>241</v>
      </c>
      <c r="O757" s="52" t="s">
        <v>2153</v>
      </c>
      <c r="P757" s="73" t="s">
        <v>1570</v>
      </c>
      <c r="Q757" s="52">
        <v>796</v>
      </c>
      <c r="R757" s="52" t="s">
        <v>1818</v>
      </c>
      <c r="S757" s="68">
        <v>1</v>
      </c>
      <c r="T757" s="54"/>
      <c r="U757" s="54">
        <f t="shared" si="50"/>
        <v>15267.857142857141</v>
      </c>
      <c r="V757" s="68">
        <f>[3]СВОД_ОБЩИЙ_РФ!$I$14</f>
        <v>17100</v>
      </c>
      <c r="W757" s="52"/>
      <c r="X757" s="52">
        <v>2012</v>
      </c>
      <c r="Y757" s="126"/>
    </row>
    <row r="758" spans="1:254" s="125" customFormat="1" ht="51">
      <c r="A758" s="55"/>
      <c r="B758" s="52" t="s">
        <v>1774</v>
      </c>
      <c r="C758" s="78" t="s">
        <v>246</v>
      </c>
      <c r="D758" s="128" t="s">
        <v>2327</v>
      </c>
      <c r="E758" s="56" t="s">
        <v>2328</v>
      </c>
      <c r="F758" s="56" t="s">
        <v>2030</v>
      </c>
      <c r="G758" s="56"/>
      <c r="H758" s="56" t="s">
        <v>243</v>
      </c>
      <c r="I758" s="52">
        <v>10</v>
      </c>
      <c r="J758" s="52">
        <v>550000000</v>
      </c>
      <c r="K758" s="56" t="s">
        <v>124</v>
      </c>
      <c r="L758" s="52" t="s">
        <v>1471</v>
      </c>
      <c r="M758" s="56" t="s">
        <v>124</v>
      </c>
      <c r="N758" s="52" t="s">
        <v>241</v>
      </c>
      <c r="O758" s="52" t="s">
        <v>1548</v>
      </c>
      <c r="P758" s="73" t="s">
        <v>1570</v>
      </c>
      <c r="Q758" s="52">
        <v>796</v>
      </c>
      <c r="R758" s="52" t="s">
        <v>1818</v>
      </c>
      <c r="S758" s="52">
        <v>2</v>
      </c>
      <c r="T758" s="54">
        <f>V758/114*100/S758</f>
        <v>17684.21052631579</v>
      </c>
      <c r="U758" s="54">
        <f t="shared" si="50"/>
        <v>36000</v>
      </c>
      <c r="V758" s="54">
        <f>[3]СВОД_ОБЩИЙ_РФ!$J$14</f>
        <v>40320</v>
      </c>
      <c r="W758" s="52"/>
      <c r="X758" s="52">
        <v>2012</v>
      </c>
      <c r="Y758" s="52"/>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c r="EL758" s="55"/>
      <c r="EM758" s="55"/>
      <c r="EN758" s="55"/>
      <c r="EO758" s="55"/>
      <c r="EP758" s="55"/>
      <c r="EQ758" s="55"/>
      <c r="ER758" s="55"/>
      <c r="ES758" s="55"/>
      <c r="ET758" s="55"/>
      <c r="EU758" s="55"/>
      <c r="EV758" s="55"/>
      <c r="EW758" s="55"/>
      <c r="EX758" s="55"/>
      <c r="EY758" s="55"/>
      <c r="EZ758" s="55"/>
      <c r="FA758" s="55"/>
      <c r="FB758" s="55"/>
      <c r="FC758" s="55"/>
      <c r="FD758" s="55"/>
      <c r="FE758" s="55"/>
      <c r="FF758" s="55"/>
      <c r="FG758" s="55"/>
      <c r="FH758" s="55"/>
      <c r="FI758" s="55"/>
      <c r="FJ758" s="55"/>
      <c r="FK758" s="55"/>
      <c r="FL758" s="55"/>
      <c r="FM758" s="55"/>
      <c r="FN758" s="55"/>
      <c r="FO758" s="55"/>
      <c r="FP758" s="55"/>
      <c r="FQ758" s="55"/>
      <c r="FR758" s="55"/>
      <c r="FS758" s="55"/>
      <c r="FT758" s="55"/>
      <c r="FU758" s="55"/>
      <c r="FV758" s="55"/>
      <c r="FW758" s="55"/>
      <c r="FX758" s="55"/>
      <c r="FY758" s="55"/>
      <c r="FZ758" s="55"/>
      <c r="GA758" s="55"/>
      <c r="GB758" s="55"/>
      <c r="GC758" s="55"/>
      <c r="GD758" s="55"/>
      <c r="GE758" s="55"/>
      <c r="GF758" s="55"/>
      <c r="GG758" s="55"/>
      <c r="GH758" s="55"/>
      <c r="GI758" s="55"/>
      <c r="GJ758" s="55"/>
      <c r="GK758" s="55"/>
      <c r="GL758" s="55"/>
      <c r="GM758" s="55"/>
      <c r="GN758" s="55"/>
      <c r="GO758" s="55"/>
      <c r="GP758" s="55"/>
      <c r="GQ758" s="55"/>
      <c r="GR758" s="55"/>
      <c r="GS758" s="55"/>
      <c r="GT758" s="55"/>
      <c r="GU758" s="55"/>
      <c r="GV758" s="55"/>
      <c r="GW758" s="55"/>
      <c r="GX758" s="55"/>
      <c r="GY758" s="55"/>
      <c r="GZ758" s="55"/>
      <c r="HA758" s="55"/>
      <c r="HB758" s="55"/>
      <c r="HC758" s="55"/>
      <c r="HD758" s="55"/>
      <c r="HE758" s="55"/>
      <c r="HF758" s="55"/>
      <c r="HG758" s="55"/>
      <c r="HH758" s="55"/>
      <c r="HI758" s="55"/>
      <c r="HJ758" s="55"/>
      <c r="HK758" s="55"/>
      <c r="HL758" s="55"/>
      <c r="HM758" s="55"/>
      <c r="HN758" s="55"/>
      <c r="HO758" s="55"/>
      <c r="HP758" s="55"/>
      <c r="HQ758" s="55"/>
      <c r="HR758" s="55"/>
      <c r="HS758" s="55"/>
      <c r="HT758" s="55"/>
      <c r="HU758" s="55"/>
      <c r="HV758" s="55"/>
      <c r="HW758" s="55"/>
      <c r="HX758" s="55"/>
      <c r="HY758" s="55"/>
      <c r="HZ758" s="55"/>
      <c r="IA758" s="55"/>
      <c r="IB758" s="55"/>
      <c r="IC758" s="55"/>
      <c r="ID758" s="55"/>
      <c r="IE758" s="55"/>
      <c r="IF758" s="55"/>
      <c r="IG758" s="55"/>
      <c r="IH758" s="55"/>
      <c r="II758" s="55"/>
      <c r="IJ758" s="55"/>
      <c r="IK758" s="55"/>
      <c r="IL758" s="55"/>
      <c r="IM758" s="55"/>
      <c r="IN758" s="55"/>
      <c r="IO758" s="55"/>
      <c r="IP758" s="55"/>
      <c r="IQ758" s="55"/>
      <c r="IR758" s="55"/>
      <c r="IS758" s="55"/>
      <c r="IT758" s="55"/>
    </row>
    <row r="759" spans="1:254" s="125" customFormat="1" ht="51">
      <c r="A759" s="55"/>
      <c r="B759" s="52" t="s">
        <v>1775</v>
      </c>
      <c r="C759" s="79" t="s">
        <v>246</v>
      </c>
      <c r="D759" s="128" t="s">
        <v>2327</v>
      </c>
      <c r="E759" s="56" t="s">
        <v>2328</v>
      </c>
      <c r="F759" s="56" t="s">
        <v>2030</v>
      </c>
      <c r="G759" s="56"/>
      <c r="H759" s="56" t="s">
        <v>243</v>
      </c>
      <c r="I759" s="60">
        <v>0</v>
      </c>
      <c r="J759" s="60">
        <v>510000000</v>
      </c>
      <c r="K759" s="56" t="s">
        <v>104</v>
      </c>
      <c r="L759" s="52" t="s">
        <v>1503</v>
      </c>
      <c r="M759" s="56" t="s">
        <v>104</v>
      </c>
      <c r="N759" s="60" t="s">
        <v>241</v>
      </c>
      <c r="O759" s="52" t="s">
        <v>1503</v>
      </c>
      <c r="P759" s="73" t="s">
        <v>1570</v>
      </c>
      <c r="Q759" s="52">
        <v>796</v>
      </c>
      <c r="R759" s="52" t="s">
        <v>1818</v>
      </c>
      <c r="S759" s="62">
        <v>2</v>
      </c>
      <c r="T759" s="62">
        <f t="shared" ref="T759:T767" si="52">V759/114*100/S759</f>
        <v>11122.368421052632</v>
      </c>
      <c r="U759" s="54">
        <f t="shared" si="50"/>
        <v>22641.964285714286</v>
      </c>
      <c r="V759" s="62">
        <f>[3]СВОД_ОБЩИЙ_РФ!$M$14</f>
        <v>25359</v>
      </c>
      <c r="W759" s="52"/>
      <c r="X759" s="52">
        <v>2012</v>
      </c>
      <c r="Y759" s="60"/>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5"/>
      <c r="CA759" s="55"/>
      <c r="CB759" s="55"/>
      <c r="CC759" s="55"/>
      <c r="CD759" s="55"/>
      <c r="CE759" s="55"/>
      <c r="CF759" s="55"/>
      <c r="CG759" s="55"/>
      <c r="CH759" s="55"/>
      <c r="CI759" s="55"/>
      <c r="CJ759" s="55"/>
      <c r="CK759" s="55"/>
      <c r="CL759" s="55"/>
      <c r="CM759" s="55"/>
      <c r="CN759" s="55"/>
      <c r="CO759" s="55"/>
      <c r="CP759" s="55"/>
      <c r="CQ759" s="55"/>
      <c r="CR759" s="55"/>
      <c r="CS759" s="55"/>
      <c r="CT759" s="55"/>
      <c r="CU759" s="55"/>
      <c r="CV759" s="55"/>
      <c r="CW759" s="55"/>
      <c r="CX759" s="55"/>
      <c r="CY759" s="55"/>
      <c r="CZ759" s="55"/>
      <c r="DA759" s="55"/>
      <c r="DB759" s="55"/>
      <c r="DC759" s="55"/>
      <c r="DD759" s="55"/>
      <c r="DE759" s="55"/>
      <c r="DF759" s="55"/>
      <c r="DG759" s="55"/>
      <c r="DH759" s="55"/>
      <c r="DI759" s="55"/>
      <c r="DJ759" s="55"/>
      <c r="DK759" s="55"/>
      <c r="DL759" s="55"/>
      <c r="DM759" s="55"/>
      <c r="DN759" s="55"/>
      <c r="DO759" s="55"/>
      <c r="DP759" s="55"/>
      <c r="DQ759" s="55"/>
      <c r="DR759" s="55"/>
      <c r="DS759" s="55"/>
      <c r="DT759" s="55"/>
      <c r="DU759" s="55"/>
      <c r="DV759" s="55"/>
      <c r="DW759" s="55"/>
      <c r="DX759" s="55"/>
      <c r="DY759" s="55"/>
      <c r="DZ759" s="55"/>
      <c r="EA759" s="55"/>
      <c r="EB759" s="55"/>
      <c r="EC759" s="55"/>
      <c r="ED759" s="55"/>
      <c r="EE759" s="55"/>
      <c r="EF759" s="55"/>
      <c r="EG759" s="55"/>
      <c r="EH759" s="55"/>
      <c r="EI759" s="55"/>
      <c r="EJ759" s="55"/>
      <c r="EK759" s="55"/>
      <c r="EL759" s="55"/>
      <c r="EM759" s="55"/>
      <c r="EN759" s="55"/>
      <c r="EO759" s="55"/>
      <c r="EP759" s="55"/>
      <c r="EQ759" s="55"/>
      <c r="ER759" s="55"/>
      <c r="ES759" s="55"/>
      <c r="ET759" s="55"/>
      <c r="EU759" s="55"/>
      <c r="EV759" s="55"/>
      <c r="EW759" s="55"/>
      <c r="EX759" s="55"/>
      <c r="EY759" s="55"/>
      <c r="EZ759" s="55"/>
      <c r="FA759" s="55"/>
      <c r="FB759" s="55"/>
      <c r="FC759" s="55"/>
      <c r="FD759" s="55"/>
      <c r="FE759" s="55"/>
      <c r="FF759" s="55"/>
      <c r="FG759" s="55"/>
      <c r="FH759" s="55"/>
      <c r="FI759" s="55"/>
      <c r="FJ759" s="55"/>
      <c r="FK759" s="55"/>
      <c r="FL759" s="55"/>
      <c r="FM759" s="55"/>
      <c r="FN759" s="55"/>
      <c r="FO759" s="55"/>
      <c r="FP759" s="55"/>
      <c r="FQ759" s="55"/>
      <c r="FR759" s="55"/>
      <c r="FS759" s="55"/>
      <c r="FT759" s="55"/>
      <c r="FU759" s="55"/>
      <c r="FV759" s="55"/>
      <c r="FW759" s="55"/>
      <c r="FX759" s="55"/>
      <c r="FY759" s="55"/>
      <c r="FZ759" s="55"/>
      <c r="GA759" s="55"/>
      <c r="GB759" s="55"/>
      <c r="GC759" s="55"/>
      <c r="GD759" s="55"/>
      <c r="GE759" s="55"/>
      <c r="GF759" s="55"/>
      <c r="GG759" s="55"/>
      <c r="GH759" s="55"/>
      <c r="GI759" s="55"/>
      <c r="GJ759" s="55"/>
      <c r="GK759" s="55"/>
      <c r="GL759" s="55"/>
      <c r="GM759" s="55"/>
      <c r="GN759" s="55"/>
      <c r="GO759" s="55"/>
      <c r="GP759" s="55"/>
      <c r="GQ759" s="55"/>
      <c r="GR759" s="55"/>
      <c r="GS759" s="55"/>
      <c r="GT759" s="55"/>
      <c r="GU759" s="55"/>
      <c r="GV759" s="55"/>
      <c r="GW759" s="55"/>
      <c r="GX759" s="55"/>
      <c r="GY759" s="55"/>
      <c r="GZ759" s="55"/>
      <c r="HA759" s="55"/>
      <c r="HB759" s="55"/>
      <c r="HC759" s="55"/>
      <c r="HD759" s="55"/>
      <c r="HE759" s="55"/>
      <c r="HF759" s="55"/>
      <c r="HG759" s="55"/>
      <c r="HH759" s="55"/>
      <c r="HI759" s="55"/>
      <c r="HJ759" s="55"/>
      <c r="HK759" s="55"/>
      <c r="HL759" s="55"/>
      <c r="HM759" s="55"/>
      <c r="HN759" s="55"/>
      <c r="HO759" s="55"/>
      <c r="HP759" s="55"/>
      <c r="HQ759" s="55"/>
      <c r="HR759" s="55"/>
      <c r="HS759" s="55"/>
      <c r="HT759" s="55"/>
      <c r="HU759" s="55"/>
      <c r="HV759" s="55"/>
      <c r="HW759" s="55"/>
      <c r="HX759" s="55"/>
      <c r="HY759" s="55"/>
      <c r="HZ759" s="55"/>
      <c r="IA759" s="55"/>
      <c r="IB759" s="55"/>
      <c r="IC759" s="55"/>
      <c r="ID759" s="55"/>
      <c r="IE759" s="55"/>
      <c r="IF759" s="55"/>
      <c r="IG759" s="55"/>
      <c r="IH759" s="55"/>
      <c r="II759" s="55"/>
      <c r="IJ759" s="55"/>
      <c r="IK759" s="55"/>
      <c r="IL759" s="55"/>
      <c r="IM759" s="55"/>
      <c r="IN759" s="55"/>
      <c r="IO759" s="55"/>
      <c r="IP759" s="55"/>
      <c r="IQ759" s="55"/>
      <c r="IR759" s="55"/>
      <c r="IS759" s="55"/>
      <c r="IT759" s="55"/>
    </row>
    <row r="760" spans="1:254" s="52" customFormat="1" ht="51">
      <c r="B760" s="52" t="s">
        <v>1776</v>
      </c>
      <c r="C760" s="53" t="s">
        <v>246</v>
      </c>
      <c r="D760" s="58" t="s">
        <v>2033</v>
      </c>
      <c r="E760" s="56" t="s">
        <v>1954</v>
      </c>
      <c r="F760" s="56" t="s">
        <v>2032</v>
      </c>
      <c r="G760" s="56"/>
      <c r="H760" s="52" t="s">
        <v>243</v>
      </c>
      <c r="I760" s="52">
        <v>0</v>
      </c>
      <c r="J760" s="52">
        <v>510000000</v>
      </c>
      <c r="K760" s="56" t="s">
        <v>104</v>
      </c>
      <c r="L760" s="52" t="s">
        <v>1503</v>
      </c>
      <c r="M760" s="56" t="s">
        <v>104</v>
      </c>
      <c r="N760" s="52" t="s">
        <v>241</v>
      </c>
      <c r="O760" s="52" t="s">
        <v>1503</v>
      </c>
      <c r="P760" s="73" t="s">
        <v>1570</v>
      </c>
      <c r="Q760" s="52">
        <v>796</v>
      </c>
      <c r="R760" s="52" t="s">
        <v>1818</v>
      </c>
      <c r="S760" s="52">
        <v>1</v>
      </c>
      <c r="T760" s="54">
        <f t="shared" si="52"/>
        <v>7490.0000000000009</v>
      </c>
      <c r="U760" s="54">
        <f t="shared" si="50"/>
        <v>7623.75</v>
      </c>
      <c r="V760" s="68">
        <f>[3]СВОД_ОБЩИЙ_РФ!$M$19</f>
        <v>8538.6</v>
      </c>
      <c r="X760" s="52">
        <v>2012</v>
      </c>
    </row>
    <row r="761" spans="1:254" s="125" customFormat="1" ht="51">
      <c r="B761" s="52" t="s">
        <v>1777</v>
      </c>
      <c r="C761" s="78" t="s">
        <v>246</v>
      </c>
      <c r="D761" s="56" t="s">
        <v>346</v>
      </c>
      <c r="E761" s="56" t="s">
        <v>1824</v>
      </c>
      <c r="F761" s="56" t="s">
        <v>1825</v>
      </c>
      <c r="G761" s="56"/>
      <c r="H761" s="52" t="s">
        <v>243</v>
      </c>
      <c r="I761" s="52">
        <v>0</v>
      </c>
      <c r="J761" s="52">
        <v>711000000</v>
      </c>
      <c r="K761" s="56" t="s">
        <v>151</v>
      </c>
      <c r="L761" s="52" t="s">
        <v>1503</v>
      </c>
      <c r="M761" s="53" t="s">
        <v>1816</v>
      </c>
      <c r="N761" s="52" t="s">
        <v>241</v>
      </c>
      <c r="O761" s="52" t="s">
        <v>1503</v>
      </c>
      <c r="P761" s="73" t="s">
        <v>1570</v>
      </c>
      <c r="Q761" s="52">
        <v>796</v>
      </c>
      <c r="R761" s="52" t="s">
        <v>1818</v>
      </c>
      <c r="S761" s="54">
        <v>10</v>
      </c>
      <c r="T761" s="54">
        <f t="shared" si="52"/>
        <v>0</v>
      </c>
      <c r="U761" s="54">
        <f t="shared" ref="U761:U767" si="53">V761/112*100</f>
        <v>0</v>
      </c>
      <c r="V761" s="68">
        <v>0</v>
      </c>
      <c r="W761" s="52"/>
      <c r="X761" s="52">
        <v>2012</v>
      </c>
      <c r="Y761" s="52" t="s">
        <v>2537</v>
      </c>
      <c r="Z761" s="184"/>
    </row>
    <row r="762" spans="1:254" s="125" customFormat="1" ht="51">
      <c r="B762" s="52" t="s">
        <v>2538</v>
      </c>
      <c r="C762" s="78" t="s">
        <v>246</v>
      </c>
      <c r="D762" s="56" t="s">
        <v>346</v>
      </c>
      <c r="E762" s="56" t="s">
        <v>1824</v>
      </c>
      <c r="F762" s="56" t="s">
        <v>1825</v>
      </c>
      <c r="G762" s="56"/>
      <c r="H762" s="52" t="s">
        <v>243</v>
      </c>
      <c r="I762" s="52">
        <v>0</v>
      </c>
      <c r="J762" s="52">
        <v>751000000</v>
      </c>
      <c r="K762" s="53" t="s">
        <v>2290</v>
      </c>
      <c r="L762" s="52" t="s">
        <v>1464</v>
      </c>
      <c r="M762" s="53" t="s">
        <v>2290</v>
      </c>
      <c r="N762" s="52" t="s">
        <v>241</v>
      </c>
      <c r="O762" s="52" t="s">
        <v>1464</v>
      </c>
      <c r="P762" s="73" t="s">
        <v>1570</v>
      </c>
      <c r="Q762" s="52">
        <v>796</v>
      </c>
      <c r="R762" s="52" t="s">
        <v>1818</v>
      </c>
      <c r="S762" s="54">
        <v>10</v>
      </c>
      <c r="T762" s="54">
        <f t="shared" si="52"/>
        <v>2459.9122807017548</v>
      </c>
      <c r="U762" s="54">
        <f t="shared" si="53"/>
        <v>25038.392857142859</v>
      </c>
      <c r="V762" s="68">
        <v>28043</v>
      </c>
      <c r="W762" s="52"/>
      <c r="X762" s="52">
        <v>2012</v>
      </c>
      <c r="Y762" s="52"/>
      <c r="Z762" s="184"/>
    </row>
    <row r="763" spans="1:254" s="125" customFormat="1" ht="51">
      <c r="B763" s="52" t="s">
        <v>1778</v>
      </c>
      <c r="C763" s="78" t="s">
        <v>246</v>
      </c>
      <c r="D763" s="56" t="s">
        <v>1826</v>
      </c>
      <c r="E763" s="56" t="s">
        <v>1827</v>
      </c>
      <c r="F763" s="53" t="s">
        <v>1828</v>
      </c>
      <c r="G763" s="53"/>
      <c r="H763" s="52" t="s">
        <v>243</v>
      </c>
      <c r="I763" s="52">
        <v>0</v>
      </c>
      <c r="J763" s="52">
        <v>711000000</v>
      </c>
      <c r="K763" s="56" t="s">
        <v>151</v>
      </c>
      <c r="L763" s="52" t="s">
        <v>1503</v>
      </c>
      <c r="M763" s="53" t="s">
        <v>1816</v>
      </c>
      <c r="N763" s="52" t="s">
        <v>241</v>
      </c>
      <c r="O763" s="52" t="s">
        <v>1503</v>
      </c>
      <c r="P763" s="73" t="s">
        <v>1570</v>
      </c>
      <c r="Q763" s="52">
        <v>796</v>
      </c>
      <c r="R763" s="52" t="s">
        <v>1818</v>
      </c>
      <c r="S763" s="54">
        <v>20</v>
      </c>
      <c r="T763" s="54">
        <f t="shared" si="52"/>
        <v>0</v>
      </c>
      <c r="U763" s="54">
        <f t="shared" si="53"/>
        <v>0</v>
      </c>
      <c r="V763" s="68">
        <v>0</v>
      </c>
      <c r="W763" s="52"/>
      <c r="X763" s="52">
        <v>2012</v>
      </c>
      <c r="Y763" s="52" t="s">
        <v>2537</v>
      </c>
      <c r="Z763" s="184"/>
    </row>
    <row r="764" spans="1:254" s="125" customFormat="1" ht="51">
      <c r="B764" s="52" t="s">
        <v>2539</v>
      </c>
      <c r="C764" s="78" t="s">
        <v>246</v>
      </c>
      <c r="D764" s="56" t="s">
        <v>1826</v>
      </c>
      <c r="E764" s="56" t="s">
        <v>1827</v>
      </c>
      <c r="F764" s="53" t="s">
        <v>1828</v>
      </c>
      <c r="G764" s="53"/>
      <c r="H764" s="52" t="s">
        <v>243</v>
      </c>
      <c r="I764" s="52">
        <v>0</v>
      </c>
      <c r="J764" s="52">
        <v>711000000</v>
      </c>
      <c r="K764" s="53" t="s">
        <v>2290</v>
      </c>
      <c r="L764" s="52" t="s">
        <v>1464</v>
      </c>
      <c r="M764" s="53" t="s">
        <v>2290</v>
      </c>
      <c r="N764" s="52" t="s">
        <v>241</v>
      </c>
      <c r="O764" s="52" t="s">
        <v>1464</v>
      </c>
      <c r="P764" s="73" t="s">
        <v>1570</v>
      </c>
      <c r="Q764" s="52">
        <v>796</v>
      </c>
      <c r="R764" s="52" t="s">
        <v>1818</v>
      </c>
      <c r="S764" s="54">
        <v>20</v>
      </c>
      <c r="T764" s="54">
        <f t="shared" si="52"/>
        <v>140.87719298245617</v>
      </c>
      <c r="U764" s="54">
        <f t="shared" si="53"/>
        <v>2867.8571428571427</v>
      </c>
      <c r="V764" s="68">
        <v>3212</v>
      </c>
      <c r="W764" s="52"/>
      <c r="X764" s="52">
        <v>2012</v>
      </c>
      <c r="Y764" s="52"/>
      <c r="Z764" s="184"/>
    </row>
    <row r="765" spans="1:254" s="125" customFormat="1" ht="51">
      <c r="B765" s="52" t="s">
        <v>1781</v>
      </c>
      <c r="C765" s="78" t="s">
        <v>246</v>
      </c>
      <c r="D765" s="52" t="s">
        <v>346</v>
      </c>
      <c r="E765" s="56" t="s">
        <v>1955</v>
      </c>
      <c r="F765" s="53" t="s">
        <v>2031</v>
      </c>
      <c r="G765" s="53"/>
      <c r="H765" s="52" t="s">
        <v>243</v>
      </c>
      <c r="I765" s="52">
        <v>0</v>
      </c>
      <c r="J765" s="52">
        <v>510000000</v>
      </c>
      <c r="K765" s="56" t="s">
        <v>104</v>
      </c>
      <c r="L765" s="52" t="s">
        <v>1503</v>
      </c>
      <c r="M765" s="56" t="s">
        <v>104</v>
      </c>
      <c r="N765" s="52" t="s">
        <v>241</v>
      </c>
      <c r="O765" s="52" t="s">
        <v>1503</v>
      </c>
      <c r="P765" s="73" t="s">
        <v>1570</v>
      </c>
      <c r="Q765" s="52">
        <v>796</v>
      </c>
      <c r="R765" s="52" t="s">
        <v>1818</v>
      </c>
      <c r="S765" s="54">
        <v>4</v>
      </c>
      <c r="T765" s="54">
        <f t="shared" si="52"/>
        <v>16880.701754385966</v>
      </c>
      <c r="U765" s="54">
        <f t="shared" si="53"/>
        <v>68728.571428571435</v>
      </c>
      <c r="V765" s="68">
        <v>76976</v>
      </c>
      <c r="W765" s="52"/>
      <c r="X765" s="52">
        <v>2012</v>
      </c>
      <c r="Y765" s="52"/>
      <c r="Z765" s="184"/>
    </row>
    <row r="766" spans="1:254" s="55" customFormat="1" ht="51">
      <c r="A766" s="56"/>
      <c r="B766" s="52" t="s">
        <v>1782</v>
      </c>
      <c r="C766" s="78" t="s">
        <v>246</v>
      </c>
      <c r="D766" s="52" t="s">
        <v>346</v>
      </c>
      <c r="E766" s="56" t="s">
        <v>1955</v>
      </c>
      <c r="F766" s="53" t="s">
        <v>2031</v>
      </c>
      <c r="G766" s="53"/>
      <c r="H766" s="52" t="s">
        <v>243</v>
      </c>
      <c r="I766" s="52">
        <v>0</v>
      </c>
      <c r="J766" s="52">
        <v>550000000</v>
      </c>
      <c r="K766" s="56" t="s">
        <v>124</v>
      </c>
      <c r="L766" s="52" t="s">
        <v>1503</v>
      </c>
      <c r="M766" s="56" t="s">
        <v>124</v>
      </c>
      <c r="N766" s="52" t="s">
        <v>241</v>
      </c>
      <c r="O766" s="52" t="s">
        <v>1503</v>
      </c>
      <c r="P766" s="73" t="s">
        <v>1570</v>
      </c>
      <c r="Q766" s="52">
        <v>796</v>
      </c>
      <c r="R766" s="52" t="s">
        <v>1818</v>
      </c>
      <c r="S766" s="54">
        <v>2</v>
      </c>
      <c r="T766" s="54">
        <f t="shared" si="52"/>
        <v>15719.298245614036</v>
      </c>
      <c r="U766" s="54">
        <f t="shared" si="53"/>
        <v>32000</v>
      </c>
      <c r="V766" s="68">
        <v>35840</v>
      </c>
      <c r="W766" s="52"/>
      <c r="X766" s="52">
        <v>2012</v>
      </c>
      <c r="Y766" s="52"/>
    </row>
    <row r="767" spans="1:254" s="55" customFormat="1" ht="51">
      <c r="A767" s="56"/>
      <c r="B767" s="52" t="s">
        <v>1783</v>
      </c>
      <c r="C767" s="53" t="s">
        <v>246</v>
      </c>
      <c r="D767" s="52" t="s">
        <v>268</v>
      </c>
      <c r="E767" s="56" t="s">
        <v>2063</v>
      </c>
      <c r="F767" s="53" t="s">
        <v>2308</v>
      </c>
      <c r="G767" s="53"/>
      <c r="H767" s="56" t="s">
        <v>243</v>
      </c>
      <c r="I767" s="52">
        <v>50</v>
      </c>
      <c r="J767" s="52">
        <v>110000000</v>
      </c>
      <c r="K767" s="56" t="s">
        <v>125</v>
      </c>
      <c r="L767" s="52" t="s">
        <v>1471</v>
      </c>
      <c r="M767" s="56" t="s">
        <v>125</v>
      </c>
      <c r="N767" s="52" t="s">
        <v>241</v>
      </c>
      <c r="O767" s="52" t="s">
        <v>1471</v>
      </c>
      <c r="P767" s="73" t="s">
        <v>1570</v>
      </c>
      <c r="Q767" s="52">
        <v>796</v>
      </c>
      <c r="R767" s="52" t="s">
        <v>1818</v>
      </c>
      <c r="S767" s="54">
        <v>300</v>
      </c>
      <c r="T767" s="54">
        <f t="shared" si="52"/>
        <v>1660.3771929824561</v>
      </c>
      <c r="U767" s="54">
        <f t="shared" si="53"/>
        <v>507008.03571428568</v>
      </c>
      <c r="V767" s="68">
        <v>567849</v>
      </c>
      <c r="W767" s="52"/>
      <c r="X767" s="52">
        <v>2012</v>
      </c>
      <c r="Y767" s="52"/>
    </row>
    <row r="768" spans="1:254" s="55" customFormat="1" ht="51">
      <c r="A768" s="56"/>
      <c r="B768" s="52" t="s">
        <v>1784</v>
      </c>
      <c r="C768" s="53" t="s">
        <v>246</v>
      </c>
      <c r="D768" s="52" t="s">
        <v>268</v>
      </c>
      <c r="E768" s="56" t="s">
        <v>2063</v>
      </c>
      <c r="F768" s="53" t="s">
        <v>2309</v>
      </c>
      <c r="G768" s="53"/>
      <c r="H768" s="52" t="s">
        <v>243</v>
      </c>
      <c r="I768" s="52">
        <v>50</v>
      </c>
      <c r="J768" s="52">
        <v>150000000</v>
      </c>
      <c r="K768" s="56" t="s">
        <v>126</v>
      </c>
      <c r="L768" s="52" t="s">
        <v>1471</v>
      </c>
      <c r="M768" s="56" t="s">
        <v>126</v>
      </c>
      <c r="N768" s="52" t="s">
        <v>241</v>
      </c>
      <c r="O768" s="52" t="s">
        <v>1471</v>
      </c>
      <c r="P768" s="73" t="s">
        <v>1570</v>
      </c>
      <c r="Q768" s="52">
        <v>796</v>
      </c>
      <c r="R768" s="52" t="s">
        <v>1818</v>
      </c>
      <c r="S768" s="54"/>
      <c r="T768" s="54"/>
      <c r="U768" s="54">
        <f t="shared" ref="U768:U778" si="54">V768/112*100</f>
        <v>34285.714285714283</v>
      </c>
      <c r="V768" s="68">
        <v>38400</v>
      </c>
      <c r="W768" s="52"/>
      <c r="X768" s="52">
        <v>2012</v>
      </c>
      <c r="Y768" s="52"/>
    </row>
    <row r="769" spans="1:26" s="55" customFormat="1" ht="51">
      <c r="A769" s="56"/>
      <c r="B769" s="52" t="s">
        <v>1785</v>
      </c>
      <c r="C769" s="53" t="s">
        <v>246</v>
      </c>
      <c r="D769" s="52" t="s">
        <v>268</v>
      </c>
      <c r="E769" s="56" t="s">
        <v>2063</v>
      </c>
      <c r="F769" s="53" t="s">
        <v>2309</v>
      </c>
      <c r="G769" s="53"/>
      <c r="H769" s="52" t="s">
        <v>243</v>
      </c>
      <c r="I769" s="52">
        <v>50</v>
      </c>
      <c r="J769" s="52">
        <v>751000000</v>
      </c>
      <c r="K769" s="56" t="s">
        <v>1437</v>
      </c>
      <c r="L769" s="52" t="s">
        <v>1463</v>
      </c>
      <c r="M769" s="56" t="s">
        <v>1437</v>
      </c>
      <c r="N769" s="52" t="s">
        <v>241</v>
      </c>
      <c r="O769" s="52" t="s">
        <v>2181</v>
      </c>
      <c r="P769" s="73" t="s">
        <v>1570</v>
      </c>
      <c r="Q769" s="52">
        <v>796</v>
      </c>
      <c r="R769" s="52" t="s">
        <v>1818</v>
      </c>
      <c r="S769" s="54">
        <v>2</v>
      </c>
      <c r="T769" s="54"/>
      <c r="U769" s="54">
        <f t="shared" si="54"/>
        <v>59428.571428571435</v>
      </c>
      <c r="V769" s="68">
        <v>66560</v>
      </c>
      <c r="W769" s="52"/>
      <c r="X769" s="52">
        <v>2012</v>
      </c>
      <c r="Y769" s="52"/>
    </row>
    <row r="770" spans="1:26" s="55" customFormat="1" ht="51">
      <c r="A770" s="56"/>
      <c r="B770" s="52" t="s">
        <v>1786</v>
      </c>
      <c r="C770" s="53" t="s">
        <v>246</v>
      </c>
      <c r="D770" s="52" t="s">
        <v>268</v>
      </c>
      <c r="E770" s="56" t="s">
        <v>2063</v>
      </c>
      <c r="F770" s="56" t="s">
        <v>2063</v>
      </c>
      <c r="G770" s="56"/>
      <c r="H770" s="52" t="s">
        <v>243</v>
      </c>
      <c r="I770" s="52">
        <v>50</v>
      </c>
      <c r="J770" s="52">
        <v>230000000</v>
      </c>
      <c r="K770" s="56" t="s">
        <v>118</v>
      </c>
      <c r="L770" s="52" t="s">
        <v>1502</v>
      </c>
      <c r="M770" s="56" t="s">
        <v>118</v>
      </c>
      <c r="N770" s="52" t="s">
        <v>241</v>
      </c>
      <c r="O770" s="52" t="s">
        <v>1502</v>
      </c>
      <c r="P770" s="73" t="s">
        <v>1570</v>
      </c>
      <c r="Q770" s="52">
        <v>796</v>
      </c>
      <c r="R770" s="52" t="s">
        <v>1818</v>
      </c>
      <c r="S770" s="54">
        <v>16</v>
      </c>
      <c r="T770" s="54"/>
      <c r="U770" s="54">
        <f t="shared" si="54"/>
        <v>16071.428571428572</v>
      </c>
      <c r="V770" s="68">
        <v>18000</v>
      </c>
      <c r="W770" s="52"/>
      <c r="X770" s="52">
        <v>2012</v>
      </c>
      <c r="Y770" s="52"/>
    </row>
    <row r="771" spans="1:26" s="55" customFormat="1" ht="51">
      <c r="A771" s="56"/>
      <c r="B771" s="52" t="s">
        <v>1787</v>
      </c>
      <c r="C771" s="53" t="s">
        <v>246</v>
      </c>
      <c r="D771" s="52" t="s">
        <v>268</v>
      </c>
      <c r="E771" s="56" t="s">
        <v>2063</v>
      </c>
      <c r="F771" s="53" t="s">
        <v>2309</v>
      </c>
      <c r="G771" s="53"/>
      <c r="H771" s="52" t="s">
        <v>243</v>
      </c>
      <c r="I771" s="52">
        <v>50</v>
      </c>
      <c r="J771" s="52">
        <v>630000000</v>
      </c>
      <c r="K771" s="56" t="s">
        <v>97</v>
      </c>
      <c r="L771" s="52" t="s">
        <v>1471</v>
      </c>
      <c r="M771" s="56" t="s">
        <v>97</v>
      </c>
      <c r="N771" s="52" t="s">
        <v>241</v>
      </c>
      <c r="O771" s="52" t="s">
        <v>1471</v>
      </c>
      <c r="P771" s="73" t="s">
        <v>1570</v>
      </c>
      <c r="Q771" s="52">
        <v>796</v>
      </c>
      <c r="R771" s="52" t="s">
        <v>1818</v>
      </c>
      <c r="S771" s="54"/>
      <c r="T771" s="54"/>
      <c r="U771" s="54">
        <f t="shared" si="54"/>
        <v>62366.071428571435</v>
      </c>
      <c r="V771" s="68">
        <v>69850</v>
      </c>
      <c r="W771" s="52"/>
      <c r="X771" s="52">
        <v>2012</v>
      </c>
      <c r="Y771" s="52"/>
    </row>
    <row r="772" spans="1:26" s="55" customFormat="1" ht="51">
      <c r="A772" s="56"/>
      <c r="B772" s="52" t="s">
        <v>1788</v>
      </c>
      <c r="C772" s="53" t="s">
        <v>246</v>
      </c>
      <c r="D772" s="52" t="s">
        <v>268</v>
      </c>
      <c r="E772" s="56" t="s">
        <v>2063</v>
      </c>
      <c r="F772" s="53" t="s">
        <v>2309</v>
      </c>
      <c r="G772" s="53"/>
      <c r="H772" s="52" t="s">
        <v>243</v>
      </c>
      <c r="I772" s="52">
        <v>50</v>
      </c>
      <c r="J772" s="52">
        <v>310000000</v>
      </c>
      <c r="K772" s="56" t="s">
        <v>119</v>
      </c>
      <c r="L772" s="53" t="s">
        <v>2163</v>
      </c>
      <c r="M772" s="56" t="s">
        <v>119</v>
      </c>
      <c r="N772" s="52" t="s">
        <v>241</v>
      </c>
      <c r="O772" s="53" t="s">
        <v>2163</v>
      </c>
      <c r="P772" s="73" t="s">
        <v>1570</v>
      </c>
      <c r="Q772" s="52">
        <v>796</v>
      </c>
      <c r="R772" s="52" t="s">
        <v>1818</v>
      </c>
      <c r="S772" s="54"/>
      <c r="T772" s="54"/>
      <c r="U772" s="54">
        <f t="shared" si="54"/>
        <v>54292.857142857145</v>
      </c>
      <c r="V772" s="68">
        <v>60808</v>
      </c>
      <c r="W772" s="52"/>
      <c r="X772" s="52">
        <v>2012</v>
      </c>
      <c r="Y772" s="52"/>
    </row>
    <row r="773" spans="1:26" s="55" customFormat="1" ht="51">
      <c r="A773" s="56"/>
      <c r="B773" s="52" t="s">
        <v>1789</v>
      </c>
      <c r="C773" s="53" t="s">
        <v>246</v>
      </c>
      <c r="D773" s="52" t="s">
        <v>268</v>
      </c>
      <c r="E773" s="56" t="s">
        <v>2063</v>
      </c>
      <c r="F773" s="53" t="s">
        <v>2309</v>
      </c>
      <c r="G773" s="53"/>
      <c r="H773" s="52" t="s">
        <v>243</v>
      </c>
      <c r="I773" s="52">
        <v>50</v>
      </c>
      <c r="J773" s="52">
        <v>270000000</v>
      </c>
      <c r="K773" s="56" t="s">
        <v>98</v>
      </c>
      <c r="L773" s="52"/>
      <c r="M773" s="56" t="s">
        <v>98</v>
      </c>
      <c r="N773" s="52" t="s">
        <v>241</v>
      </c>
      <c r="O773" s="52"/>
      <c r="P773" s="73" t="s">
        <v>1570</v>
      </c>
      <c r="Q773" s="52">
        <v>796</v>
      </c>
      <c r="R773" s="52" t="s">
        <v>1818</v>
      </c>
      <c r="S773" s="54"/>
      <c r="T773" s="54"/>
      <c r="U773" s="54">
        <f t="shared" si="54"/>
        <v>39000</v>
      </c>
      <c r="V773" s="68">
        <v>43680</v>
      </c>
      <c r="W773" s="52"/>
      <c r="X773" s="52">
        <v>2012</v>
      </c>
      <c r="Y773" s="52"/>
    </row>
    <row r="774" spans="1:26" s="55" customFormat="1" ht="54.75" customHeight="1">
      <c r="A774" s="56"/>
      <c r="B774" s="52" t="s">
        <v>2353</v>
      </c>
      <c r="C774" s="53" t="s">
        <v>246</v>
      </c>
      <c r="D774" s="52" t="s">
        <v>268</v>
      </c>
      <c r="E774" s="56" t="s">
        <v>2063</v>
      </c>
      <c r="F774" s="53" t="s">
        <v>2156</v>
      </c>
      <c r="G774" s="53"/>
      <c r="H774" s="52" t="s">
        <v>243</v>
      </c>
      <c r="I774" s="52">
        <v>50</v>
      </c>
      <c r="J774" s="52">
        <v>350000000</v>
      </c>
      <c r="K774" s="56" t="s">
        <v>120</v>
      </c>
      <c r="L774" s="52" t="s">
        <v>1503</v>
      </c>
      <c r="M774" s="56" t="s">
        <v>120</v>
      </c>
      <c r="N774" s="52" t="s">
        <v>241</v>
      </c>
      <c r="O774" s="52" t="s">
        <v>1503</v>
      </c>
      <c r="P774" s="73" t="s">
        <v>1570</v>
      </c>
      <c r="Q774" s="52">
        <v>796</v>
      </c>
      <c r="R774" s="52" t="s">
        <v>1818</v>
      </c>
      <c r="S774" s="54">
        <v>10</v>
      </c>
      <c r="T774" s="54"/>
      <c r="U774" s="54">
        <f t="shared" si="54"/>
        <v>7260.7142857142862</v>
      </c>
      <c r="V774" s="68">
        <v>8132</v>
      </c>
      <c r="W774" s="52"/>
      <c r="X774" s="52">
        <v>2012</v>
      </c>
      <c r="Y774" s="52"/>
    </row>
    <row r="775" spans="1:26" s="55" customFormat="1" ht="51">
      <c r="A775" s="56"/>
      <c r="B775" s="52" t="s">
        <v>2354</v>
      </c>
      <c r="C775" s="53" t="s">
        <v>246</v>
      </c>
      <c r="D775" s="52" t="s">
        <v>268</v>
      </c>
      <c r="E775" s="56" t="s">
        <v>2063</v>
      </c>
      <c r="F775" s="53" t="s">
        <v>2309</v>
      </c>
      <c r="G775" s="53"/>
      <c r="H775" s="52" t="s">
        <v>243</v>
      </c>
      <c r="I775" s="52">
        <v>50</v>
      </c>
      <c r="J775" s="52">
        <v>390000000</v>
      </c>
      <c r="K775" s="56" t="s">
        <v>121</v>
      </c>
      <c r="L775" s="52" t="s">
        <v>2153</v>
      </c>
      <c r="M775" s="56" t="s">
        <v>121</v>
      </c>
      <c r="N775" s="52" t="s">
        <v>241</v>
      </c>
      <c r="O775" s="52" t="s">
        <v>2153</v>
      </c>
      <c r="P775" s="73" t="s">
        <v>1570</v>
      </c>
      <c r="Q775" s="52">
        <v>796</v>
      </c>
      <c r="R775" s="52" t="s">
        <v>1818</v>
      </c>
      <c r="S775" s="54"/>
      <c r="T775" s="54"/>
      <c r="U775" s="54">
        <f t="shared" si="54"/>
        <v>26785.714285714283</v>
      </c>
      <c r="V775" s="68">
        <v>30000</v>
      </c>
      <c r="W775" s="52"/>
      <c r="X775" s="52">
        <v>2012</v>
      </c>
      <c r="Y775" s="52"/>
    </row>
    <row r="776" spans="1:26" s="55" customFormat="1" ht="51">
      <c r="A776" s="56"/>
      <c r="B776" s="52" t="s">
        <v>2355</v>
      </c>
      <c r="C776" s="53" t="s">
        <v>246</v>
      </c>
      <c r="D776" s="52" t="s">
        <v>268</v>
      </c>
      <c r="E776" s="56" t="s">
        <v>2063</v>
      </c>
      <c r="F776" s="53" t="s">
        <v>2161</v>
      </c>
      <c r="G776" s="53"/>
      <c r="H776" s="52" t="s">
        <v>243</v>
      </c>
      <c r="I776" s="52">
        <v>50</v>
      </c>
      <c r="J776" s="52">
        <v>430000000</v>
      </c>
      <c r="K776" s="56" t="s">
        <v>122</v>
      </c>
      <c r="L776" s="52" t="s">
        <v>1502</v>
      </c>
      <c r="M776" s="56" t="s">
        <v>122</v>
      </c>
      <c r="N776" s="52" t="s">
        <v>241</v>
      </c>
      <c r="O776" s="52" t="s">
        <v>345</v>
      </c>
      <c r="P776" s="73" t="s">
        <v>1570</v>
      </c>
      <c r="Q776" s="52">
        <v>796</v>
      </c>
      <c r="R776" s="52" t="s">
        <v>1818</v>
      </c>
      <c r="S776" s="54">
        <v>36</v>
      </c>
      <c r="T776" s="54"/>
      <c r="U776" s="54">
        <f t="shared" si="54"/>
        <v>46607.142857142855</v>
      </c>
      <c r="V776" s="68">
        <v>52200</v>
      </c>
      <c r="W776" s="52"/>
      <c r="X776" s="52">
        <v>2012</v>
      </c>
      <c r="Y776" s="52"/>
    </row>
    <row r="777" spans="1:26" s="55" customFormat="1" ht="76.5">
      <c r="A777" s="56"/>
      <c r="B777" s="52" t="s">
        <v>2356</v>
      </c>
      <c r="C777" s="53" t="s">
        <v>246</v>
      </c>
      <c r="D777" s="52" t="s">
        <v>268</v>
      </c>
      <c r="E777" s="56" t="s">
        <v>2063</v>
      </c>
      <c r="F777" s="56" t="s">
        <v>2293</v>
      </c>
      <c r="G777" s="56"/>
      <c r="H777" s="52" t="s">
        <v>243</v>
      </c>
      <c r="I777" s="52">
        <v>50</v>
      </c>
      <c r="J777" s="52">
        <v>470000000</v>
      </c>
      <c r="K777" s="56" t="s">
        <v>123</v>
      </c>
      <c r="L777" s="52" t="s">
        <v>1503</v>
      </c>
      <c r="M777" s="56" t="s">
        <v>123</v>
      </c>
      <c r="N777" s="52" t="s">
        <v>241</v>
      </c>
      <c r="O777" s="52" t="s">
        <v>1503</v>
      </c>
      <c r="P777" s="73" t="s">
        <v>1570</v>
      </c>
      <c r="Q777" s="52">
        <v>796</v>
      </c>
      <c r="R777" s="52" t="s">
        <v>1818</v>
      </c>
      <c r="S777" s="54">
        <v>15</v>
      </c>
      <c r="T777" s="54"/>
      <c r="U777" s="54">
        <f t="shared" si="54"/>
        <v>33482.142857142855</v>
      </c>
      <c r="V777" s="68">
        <v>37500</v>
      </c>
      <c r="W777" s="52"/>
      <c r="X777" s="52">
        <v>2012</v>
      </c>
      <c r="Y777" s="52"/>
    </row>
    <row r="778" spans="1:26" s="55" customFormat="1" ht="51">
      <c r="A778" s="56"/>
      <c r="B778" s="52" t="s">
        <v>2357</v>
      </c>
      <c r="C778" s="53" t="s">
        <v>246</v>
      </c>
      <c r="D778" s="52" t="s">
        <v>268</v>
      </c>
      <c r="E778" s="56" t="s">
        <v>2063</v>
      </c>
      <c r="F778" s="53" t="s">
        <v>2172</v>
      </c>
      <c r="G778" s="53"/>
      <c r="H778" s="52" t="s">
        <v>243</v>
      </c>
      <c r="I778" s="52">
        <v>50</v>
      </c>
      <c r="J778" s="52">
        <v>550000000</v>
      </c>
      <c r="K778" s="56" t="s">
        <v>124</v>
      </c>
      <c r="L778" s="52" t="s">
        <v>1471</v>
      </c>
      <c r="M778" s="56" t="s">
        <v>124</v>
      </c>
      <c r="N778" s="52" t="s">
        <v>241</v>
      </c>
      <c r="O778" s="52" t="s">
        <v>1548</v>
      </c>
      <c r="P778" s="73" t="s">
        <v>1570</v>
      </c>
      <c r="Q778" s="52">
        <v>796</v>
      </c>
      <c r="R778" s="52" t="s">
        <v>1818</v>
      </c>
      <c r="S778" s="54"/>
      <c r="T778" s="54"/>
      <c r="U778" s="54">
        <f t="shared" si="54"/>
        <v>52000</v>
      </c>
      <c r="V778" s="68">
        <v>58240</v>
      </c>
      <c r="W778" s="52"/>
      <c r="X778" s="52">
        <v>2012</v>
      </c>
      <c r="Y778" s="52"/>
    </row>
    <row r="779" spans="1:26" s="55" customFormat="1" ht="51">
      <c r="A779" s="56"/>
      <c r="B779" s="52" t="s">
        <v>2358</v>
      </c>
      <c r="C779" s="53" t="s">
        <v>246</v>
      </c>
      <c r="D779" s="52" t="s">
        <v>268</v>
      </c>
      <c r="E779" s="56" t="s">
        <v>2063</v>
      </c>
      <c r="F779" s="53" t="s">
        <v>2309</v>
      </c>
      <c r="G779" s="53"/>
      <c r="H779" s="52" t="s">
        <v>243</v>
      </c>
      <c r="I779" s="52">
        <v>50</v>
      </c>
      <c r="J779" s="52">
        <v>590000000</v>
      </c>
      <c r="K779" s="56" t="s">
        <v>103</v>
      </c>
      <c r="L779" s="52" t="s">
        <v>1502</v>
      </c>
      <c r="M779" s="56" t="s">
        <v>103</v>
      </c>
      <c r="N779" s="52" t="s">
        <v>241</v>
      </c>
      <c r="O779" s="52" t="s">
        <v>1502</v>
      </c>
      <c r="P779" s="73" t="s">
        <v>1570</v>
      </c>
      <c r="Q779" s="52">
        <v>796</v>
      </c>
      <c r="R779" s="52" t="s">
        <v>1818</v>
      </c>
      <c r="S779" s="54">
        <v>10</v>
      </c>
      <c r="T779" s="54"/>
      <c r="U779" s="54">
        <f>V779/112*100</f>
        <v>37440.446428571435</v>
      </c>
      <c r="V779" s="68">
        <v>41933.300000000003</v>
      </c>
      <c r="W779" s="52"/>
      <c r="X779" s="52">
        <v>2012</v>
      </c>
      <c r="Y779" s="52"/>
    </row>
    <row r="780" spans="1:26" s="55" customFormat="1" ht="51">
      <c r="A780" s="56"/>
      <c r="B780" s="52" t="s">
        <v>2359</v>
      </c>
      <c r="C780" s="53" t="s">
        <v>246</v>
      </c>
      <c r="D780" s="52" t="s">
        <v>268</v>
      </c>
      <c r="E780" s="56" t="s">
        <v>2063</v>
      </c>
      <c r="F780" s="53" t="s">
        <v>2309</v>
      </c>
      <c r="G780" s="53"/>
      <c r="H780" s="52" t="s">
        <v>243</v>
      </c>
      <c r="I780" s="52">
        <v>50</v>
      </c>
      <c r="J780" s="52">
        <v>510000000</v>
      </c>
      <c r="K780" s="56" t="s">
        <v>104</v>
      </c>
      <c r="L780" s="52" t="s">
        <v>1471</v>
      </c>
      <c r="M780" s="56" t="s">
        <v>104</v>
      </c>
      <c r="N780" s="52" t="s">
        <v>241</v>
      </c>
      <c r="O780" s="52" t="s">
        <v>1548</v>
      </c>
      <c r="P780" s="73" t="s">
        <v>1570</v>
      </c>
      <c r="Q780" s="52">
        <v>796</v>
      </c>
      <c r="R780" s="52" t="s">
        <v>1818</v>
      </c>
      <c r="S780" s="54"/>
      <c r="T780" s="54"/>
      <c r="U780" s="54">
        <f t="shared" ref="U780:U808" si="55">V780/112*100</f>
        <v>67066.071428571435</v>
      </c>
      <c r="V780" s="68">
        <v>75114</v>
      </c>
      <c r="W780" s="52"/>
      <c r="X780" s="52">
        <v>2012</v>
      </c>
      <c r="Y780" s="52"/>
    </row>
    <row r="781" spans="1:26" s="55" customFormat="1" ht="114.75">
      <c r="A781" s="56"/>
      <c r="B781" s="52" t="s">
        <v>2498</v>
      </c>
      <c r="C781" s="78" t="s">
        <v>246</v>
      </c>
      <c r="D781" s="52" t="s">
        <v>248</v>
      </c>
      <c r="E781" s="53" t="s">
        <v>2499</v>
      </c>
      <c r="F781" s="53" t="s">
        <v>2500</v>
      </c>
      <c r="G781" s="53"/>
      <c r="H781" s="52" t="s">
        <v>243</v>
      </c>
      <c r="I781" s="52">
        <v>0</v>
      </c>
      <c r="J781" s="52">
        <v>751000000</v>
      </c>
      <c r="K781" s="53" t="s">
        <v>2290</v>
      </c>
      <c r="L781" s="53" t="s">
        <v>1468</v>
      </c>
      <c r="M781" s="53" t="s">
        <v>2290</v>
      </c>
      <c r="N781" s="52" t="s">
        <v>241</v>
      </c>
      <c r="O781" s="53" t="s">
        <v>1468</v>
      </c>
      <c r="P781" s="53" t="s">
        <v>1538</v>
      </c>
      <c r="Q781" s="52">
        <v>796</v>
      </c>
      <c r="R781" s="52" t="s">
        <v>1818</v>
      </c>
      <c r="S781" s="54">
        <v>1</v>
      </c>
      <c r="T781" s="54"/>
      <c r="U781" s="54">
        <f t="shared" si="55"/>
        <v>0</v>
      </c>
      <c r="V781" s="68">
        <v>0</v>
      </c>
      <c r="W781" s="52"/>
      <c r="X781" s="52">
        <v>2012</v>
      </c>
      <c r="Y781" s="52">
        <v>11.14</v>
      </c>
    </row>
    <row r="782" spans="1:26" s="55" customFormat="1" ht="114.75">
      <c r="A782" s="56"/>
      <c r="B782" s="52" t="s">
        <v>2540</v>
      </c>
      <c r="C782" s="78" t="s">
        <v>246</v>
      </c>
      <c r="D782" s="52" t="s">
        <v>248</v>
      </c>
      <c r="E782" s="53" t="s">
        <v>2499</v>
      </c>
      <c r="F782" s="53" t="s">
        <v>2500</v>
      </c>
      <c r="G782" s="53"/>
      <c r="H782" s="52" t="s">
        <v>243</v>
      </c>
      <c r="I782" s="52">
        <v>0</v>
      </c>
      <c r="J782" s="52">
        <v>751000000</v>
      </c>
      <c r="K782" s="53" t="s">
        <v>2290</v>
      </c>
      <c r="L782" s="53" t="s">
        <v>1462</v>
      </c>
      <c r="M782" s="53" t="s">
        <v>2290</v>
      </c>
      <c r="N782" s="52" t="s">
        <v>241</v>
      </c>
      <c r="O782" s="53" t="s">
        <v>1471</v>
      </c>
      <c r="P782" s="53" t="s">
        <v>1538</v>
      </c>
      <c r="Q782" s="52">
        <v>796</v>
      </c>
      <c r="R782" s="52" t="s">
        <v>1818</v>
      </c>
      <c r="S782" s="54">
        <v>1</v>
      </c>
      <c r="T782" s="54"/>
      <c r="U782" s="54">
        <f t="shared" si="55"/>
        <v>471875</v>
      </c>
      <c r="V782" s="68">
        <v>528500</v>
      </c>
      <c r="W782" s="52"/>
      <c r="X782" s="52">
        <v>2012</v>
      </c>
      <c r="Y782" s="52"/>
    </row>
    <row r="783" spans="1:26" s="155" customFormat="1" ht="51.75" customHeight="1">
      <c r="B783" s="52" t="s">
        <v>2528</v>
      </c>
      <c r="C783" s="78" t="s">
        <v>246</v>
      </c>
      <c r="D783" s="57" t="s">
        <v>2531</v>
      </c>
      <c r="E783" s="56" t="s">
        <v>2529</v>
      </c>
      <c r="F783" s="56" t="s">
        <v>2529</v>
      </c>
      <c r="G783" s="53"/>
      <c r="H783" s="52" t="s">
        <v>243</v>
      </c>
      <c r="I783" s="52">
        <v>100</v>
      </c>
      <c r="J783" s="52">
        <v>751000000</v>
      </c>
      <c r="K783" s="53" t="s">
        <v>2290</v>
      </c>
      <c r="L783" s="52" t="s">
        <v>1468</v>
      </c>
      <c r="M783" s="53" t="s">
        <v>1816</v>
      </c>
      <c r="N783" s="52" t="s">
        <v>241</v>
      </c>
      <c r="O783" s="52" t="s">
        <v>2530</v>
      </c>
      <c r="P783" s="53" t="s">
        <v>1524</v>
      </c>
      <c r="Q783" s="52">
        <v>796</v>
      </c>
      <c r="R783" s="52" t="s">
        <v>1818</v>
      </c>
      <c r="S783" s="54">
        <v>17</v>
      </c>
      <c r="T783" s="54">
        <f>V783/114*100/S783</f>
        <v>13407636.738906089</v>
      </c>
      <c r="U783" s="54">
        <f t="shared" si="55"/>
        <v>232000000</v>
      </c>
      <c r="V783" s="54">
        <v>259840000</v>
      </c>
      <c r="W783" s="52"/>
      <c r="X783" s="52">
        <v>2012</v>
      </c>
      <c r="Y783" s="52" t="s">
        <v>1754</v>
      </c>
    </row>
    <row r="784" spans="1:26" s="125" customFormat="1" ht="63.75">
      <c r="B784" s="52" t="s">
        <v>2541</v>
      </c>
      <c r="C784" s="78" t="s">
        <v>246</v>
      </c>
      <c r="D784" s="52" t="s">
        <v>346</v>
      </c>
      <c r="E784" s="56" t="s">
        <v>1955</v>
      </c>
      <c r="F784" s="163" t="s">
        <v>2542</v>
      </c>
      <c r="G784" s="53"/>
      <c r="H784" s="52" t="s">
        <v>243</v>
      </c>
      <c r="I784" s="52">
        <v>0</v>
      </c>
      <c r="J784" s="52">
        <v>751000000</v>
      </c>
      <c r="K784" s="53" t="s">
        <v>2290</v>
      </c>
      <c r="L784" s="53" t="s">
        <v>1464</v>
      </c>
      <c r="M784" s="53" t="s">
        <v>2290</v>
      </c>
      <c r="N784" s="52" t="s">
        <v>241</v>
      </c>
      <c r="O784" s="53" t="s">
        <v>1464</v>
      </c>
      <c r="P784" s="53" t="s">
        <v>1537</v>
      </c>
      <c r="Q784" s="52">
        <v>796</v>
      </c>
      <c r="R784" s="52" t="s">
        <v>1818</v>
      </c>
      <c r="S784" s="54">
        <v>4</v>
      </c>
      <c r="T784" s="54">
        <f t="shared" ref="T784:T808" si="56">V784/114*100/S784</f>
        <v>15350.877192982454</v>
      </c>
      <c r="U784" s="54">
        <f t="shared" si="55"/>
        <v>62500</v>
      </c>
      <c r="V784" s="68">
        <v>70000</v>
      </c>
      <c r="W784" s="52"/>
      <c r="X784" s="52">
        <v>2012</v>
      </c>
      <c r="Y784" s="52"/>
      <c r="Z784" s="184"/>
    </row>
    <row r="785" spans="1:26" s="55" customFormat="1" ht="89.25">
      <c r="A785" s="65"/>
      <c r="B785" s="52" t="s">
        <v>2543</v>
      </c>
      <c r="C785" s="78" t="s">
        <v>246</v>
      </c>
      <c r="D785" s="58" t="s">
        <v>2544</v>
      </c>
      <c r="E785" s="56" t="s">
        <v>2545</v>
      </c>
      <c r="F785" s="53" t="s">
        <v>2546</v>
      </c>
      <c r="G785" s="53"/>
      <c r="H785" s="52" t="s">
        <v>243</v>
      </c>
      <c r="I785" s="52">
        <v>0</v>
      </c>
      <c r="J785" s="52">
        <v>751000000</v>
      </c>
      <c r="K785" s="53" t="s">
        <v>2290</v>
      </c>
      <c r="L785" s="52" t="s">
        <v>2547</v>
      </c>
      <c r="M785" s="53" t="s">
        <v>2290</v>
      </c>
      <c r="N785" s="52" t="s">
        <v>241</v>
      </c>
      <c r="O785" s="52" t="s">
        <v>1471</v>
      </c>
      <c r="P785" s="53" t="s">
        <v>1524</v>
      </c>
      <c r="Q785" s="52">
        <v>839</v>
      </c>
      <c r="R785" s="52" t="s">
        <v>1818</v>
      </c>
      <c r="S785" s="54">
        <v>1</v>
      </c>
      <c r="T785" s="54">
        <f t="shared" si="56"/>
        <v>0</v>
      </c>
      <c r="U785" s="54">
        <f t="shared" si="55"/>
        <v>0</v>
      </c>
      <c r="V785" s="68">
        <v>0</v>
      </c>
      <c r="W785" s="54"/>
      <c r="X785" s="52">
        <v>2012</v>
      </c>
      <c r="Y785" s="52" t="s">
        <v>2661</v>
      </c>
      <c r="Z785" s="171"/>
    </row>
    <row r="786" spans="1:26" s="55" customFormat="1" ht="89.25">
      <c r="A786" s="65"/>
      <c r="B786" s="52" t="s">
        <v>2669</v>
      </c>
      <c r="C786" s="78" t="s">
        <v>246</v>
      </c>
      <c r="D786" s="58" t="s">
        <v>2544</v>
      </c>
      <c r="E786" s="56" t="s">
        <v>2545</v>
      </c>
      <c r="F786" s="53" t="s">
        <v>2546</v>
      </c>
      <c r="G786" s="53"/>
      <c r="H786" s="52" t="s">
        <v>243</v>
      </c>
      <c r="I786" s="52">
        <v>0</v>
      </c>
      <c r="J786" s="52">
        <v>751000000</v>
      </c>
      <c r="K786" s="53" t="s">
        <v>2290</v>
      </c>
      <c r="L786" s="52" t="s">
        <v>1548</v>
      </c>
      <c r="M786" s="53" t="s">
        <v>2290</v>
      </c>
      <c r="N786" s="52" t="s">
        <v>241</v>
      </c>
      <c r="O786" s="52" t="s">
        <v>1548</v>
      </c>
      <c r="P786" s="53" t="s">
        <v>1524</v>
      </c>
      <c r="Q786" s="52">
        <v>839</v>
      </c>
      <c r="R786" s="52" t="s">
        <v>1818</v>
      </c>
      <c r="S786" s="54">
        <v>1</v>
      </c>
      <c r="T786" s="54">
        <f t="shared" si="56"/>
        <v>73684.210526315786</v>
      </c>
      <c r="U786" s="54">
        <f t="shared" si="55"/>
        <v>75000</v>
      </c>
      <c r="V786" s="68">
        <v>84000</v>
      </c>
      <c r="W786" s="54"/>
      <c r="X786" s="52">
        <v>2012</v>
      </c>
      <c r="Y786" s="52"/>
      <c r="Z786" s="171"/>
    </row>
    <row r="787" spans="1:26" s="55" customFormat="1" ht="178.5">
      <c r="A787" s="65"/>
      <c r="B787" s="52" t="s">
        <v>2548</v>
      </c>
      <c r="C787" s="78" t="s">
        <v>246</v>
      </c>
      <c r="D787" s="58" t="s">
        <v>2544</v>
      </c>
      <c r="E787" s="56" t="s">
        <v>2549</v>
      </c>
      <c r="F787" s="53" t="s">
        <v>2550</v>
      </c>
      <c r="G787" s="53"/>
      <c r="H787" s="52" t="s">
        <v>243</v>
      </c>
      <c r="I787" s="52">
        <v>0</v>
      </c>
      <c r="J787" s="52">
        <v>751000000</v>
      </c>
      <c r="K787" s="53" t="s">
        <v>2290</v>
      </c>
      <c r="L787" s="52" t="s">
        <v>2547</v>
      </c>
      <c r="M787" s="53" t="s">
        <v>2290</v>
      </c>
      <c r="N787" s="52" t="s">
        <v>241</v>
      </c>
      <c r="O787" s="52" t="s">
        <v>1471</v>
      </c>
      <c r="P787" s="53" t="s">
        <v>1524</v>
      </c>
      <c r="Q787" s="52">
        <v>839</v>
      </c>
      <c r="R787" s="52" t="s">
        <v>1818</v>
      </c>
      <c r="S787" s="54">
        <v>1</v>
      </c>
      <c r="T787" s="54">
        <f t="shared" si="56"/>
        <v>0</v>
      </c>
      <c r="U787" s="54">
        <f t="shared" si="55"/>
        <v>0</v>
      </c>
      <c r="V787" s="68">
        <v>0</v>
      </c>
      <c r="W787" s="54"/>
      <c r="X787" s="52">
        <v>2012</v>
      </c>
      <c r="Y787" s="52" t="s">
        <v>2661</v>
      </c>
      <c r="Z787" s="171"/>
    </row>
    <row r="788" spans="1:26" s="55" customFormat="1" ht="178.5">
      <c r="A788" s="65"/>
      <c r="B788" s="52" t="s">
        <v>2670</v>
      </c>
      <c r="C788" s="78" t="s">
        <v>246</v>
      </c>
      <c r="D788" s="58" t="s">
        <v>2544</v>
      </c>
      <c r="E788" s="56" t="s">
        <v>2549</v>
      </c>
      <c r="F788" s="53" t="s">
        <v>2550</v>
      </c>
      <c r="G788" s="53"/>
      <c r="H788" s="52" t="s">
        <v>243</v>
      </c>
      <c r="I788" s="52">
        <v>0</v>
      </c>
      <c r="J788" s="52">
        <v>751000000</v>
      </c>
      <c r="K788" s="53" t="s">
        <v>2290</v>
      </c>
      <c r="L788" s="52" t="s">
        <v>1548</v>
      </c>
      <c r="M788" s="53" t="s">
        <v>2290</v>
      </c>
      <c r="N788" s="52" t="s">
        <v>241</v>
      </c>
      <c r="O788" s="52" t="s">
        <v>1548</v>
      </c>
      <c r="P788" s="53" t="s">
        <v>1524</v>
      </c>
      <c r="Q788" s="52">
        <v>839</v>
      </c>
      <c r="R788" s="52" t="s">
        <v>1818</v>
      </c>
      <c r="S788" s="54">
        <v>1</v>
      </c>
      <c r="T788" s="54">
        <f t="shared" si="56"/>
        <v>29473.684210526317</v>
      </c>
      <c r="U788" s="54">
        <f t="shared" si="55"/>
        <v>30000</v>
      </c>
      <c r="V788" s="68">
        <v>33600</v>
      </c>
      <c r="W788" s="54"/>
      <c r="X788" s="52">
        <v>2012</v>
      </c>
      <c r="Y788" s="52"/>
      <c r="Z788" s="171"/>
    </row>
    <row r="789" spans="1:26" s="55" customFormat="1" ht="114.75">
      <c r="A789" s="65"/>
      <c r="B789" s="52" t="s">
        <v>2551</v>
      </c>
      <c r="C789" s="78" t="s">
        <v>246</v>
      </c>
      <c r="D789" s="58" t="s">
        <v>2544</v>
      </c>
      <c r="E789" s="56" t="s">
        <v>2552</v>
      </c>
      <c r="F789" s="56" t="s">
        <v>2553</v>
      </c>
      <c r="G789" s="53"/>
      <c r="H789" s="52" t="s">
        <v>243</v>
      </c>
      <c r="I789" s="52">
        <v>0</v>
      </c>
      <c r="J789" s="52">
        <v>751000000</v>
      </c>
      <c r="K789" s="53" t="s">
        <v>2290</v>
      </c>
      <c r="L789" s="52" t="s">
        <v>2547</v>
      </c>
      <c r="M789" s="53" t="s">
        <v>2290</v>
      </c>
      <c r="N789" s="52" t="s">
        <v>241</v>
      </c>
      <c r="O789" s="52" t="s">
        <v>1471</v>
      </c>
      <c r="P789" s="53" t="s">
        <v>1524</v>
      </c>
      <c r="Q789" s="52">
        <v>839</v>
      </c>
      <c r="R789" s="52" t="s">
        <v>1818</v>
      </c>
      <c r="S789" s="54">
        <v>1</v>
      </c>
      <c r="T789" s="54">
        <f t="shared" si="56"/>
        <v>0</v>
      </c>
      <c r="U789" s="54">
        <f t="shared" si="55"/>
        <v>0</v>
      </c>
      <c r="V789" s="68">
        <v>0</v>
      </c>
      <c r="W789" s="54"/>
      <c r="X789" s="52">
        <v>2012</v>
      </c>
      <c r="Y789" s="52" t="s">
        <v>2661</v>
      </c>
      <c r="Z789" s="171"/>
    </row>
    <row r="790" spans="1:26" s="55" customFormat="1" ht="114.75">
      <c r="A790" s="65"/>
      <c r="B790" s="52" t="s">
        <v>2671</v>
      </c>
      <c r="C790" s="78" t="s">
        <v>246</v>
      </c>
      <c r="D790" s="58" t="s">
        <v>2544</v>
      </c>
      <c r="E790" s="56" t="s">
        <v>2552</v>
      </c>
      <c r="F790" s="56" t="s">
        <v>2553</v>
      </c>
      <c r="G790" s="53"/>
      <c r="H790" s="52" t="s">
        <v>243</v>
      </c>
      <c r="I790" s="52">
        <v>0</v>
      </c>
      <c r="J790" s="52">
        <v>751000000</v>
      </c>
      <c r="K790" s="53" t="s">
        <v>2290</v>
      </c>
      <c r="L790" s="52" t="s">
        <v>1548</v>
      </c>
      <c r="M790" s="53" t="s">
        <v>2290</v>
      </c>
      <c r="N790" s="52" t="s">
        <v>241</v>
      </c>
      <c r="O790" s="52" t="s">
        <v>1548</v>
      </c>
      <c r="P790" s="53" t="s">
        <v>1524</v>
      </c>
      <c r="Q790" s="52">
        <v>839</v>
      </c>
      <c r="R790" s="52" t="s">
        <v>1818</v>
      </c>
      <c r="S790" s="54">
        <v>1</v>
      </c>
      <c r="T790" s="54">
        <f t="shared" si="56"/>
        <v>9578.9473684210516</v>
      </c>
      <c r="U790" s="54">
        <f t="shared" si="55"/>
        <v>9750</v>
      </c>
      <c r="V790" s="68">
        <v>10920</v>
      </c>
      <c r="W790" s="54"/>
      <c r="X790" s="52">
        <v>2012</v>
      </c>
      <c r="Y790" s="52"/>
      <c r="Z790" s="171"/>
    </row>
    <row r="791" spans="1:26" s="55" customFormat="1" ht="191.25">
      <c r="A791" s="65"/>
      <c r="B791" s="52" t="s">
        <v>2554</v>
      </c>
      <c r="C791" s="78" t="s">
        <v>246</v>
      </c>
      <c r="D791" s="58" t="s">
        <v>2544</v>
      </c>
      <c r="E791" s="56" t="s">
        <v>2555</v>
      </c>
      <c r="F791" s="56" t="s">
        <v>2556</v>
      </c>
      <c r="G791" s="53"/>
      <c r="H791" s="52" t="s">
        <v>243</v>
      </c>
      <c r="I791" s="52">
        <v>0</v>
      </c>
      <c r="J791" s="52">
        <v>751000000</v>
      </c>
      <c r="K791" s="53" t="s">
        <v>2290</v>
      </c>
      <c r="L791" s="52" t="s">
        <v>2547</v>
      </c>
      <c r="M791" s="53" t="s">
        <v>2290</v>
      </c>
      <c r="N791" s="52" t="s">
        <v>241</v>
      </c>
      <c r="O791" s="52" t="s">
        <v>1471</v>
      </c>
      <c r="P791" s="53" t="s">
        <v>1524</v>
      </c>
      <c r="Q791" s="52">
        <v>796</v>
      </c>
      <c r="R791" s="52" t="s">
        <v>1818</v>
      </c>
      <c r="S791" s="54">
        <v>1</v>
      </c>
      <c r="T791" s="54">
        <f t="shared" si="56"/>
        <v>0</v>
      </c>
      <c r="U791" s="54">
        <f t="shared" si="55"/>
        <v>0</v>
      </c>
      <c r="V791" s="68">
        <v>0</v>
      </c>
      <c r="W791" s="54"/>
      <c r="X791" s="52">
        <v>2012</v>
      </c>
      <c r="Y791" s="52" t="s">
        <v>2661</v>
      </c>
      <c r="Z791" s="171"/>
    </row>
    <row r="792" spans="1:26" s="55" customFormat="1" ht="191.25">
      <c r="A792" s="65"/>
      <c r="B792" s="52" t="s">
        <v>2672</v>
      </c>
      <c r="C792" s="78" t="s">
        <v>246</v>
      </c>
      <c r="D792" s="58" t="s">
        <v>2544</v>
      </c>
      <c r="E792" s="56" t="s">
        <v>2555</v>
      </c>
      <c r="F792" s="56" t="s">
        <v>2556</v>
      </c>
      <c r="G792" s="53"/>
      <c r="H792" s="52" t="s">
        <v>243</v>
      </c>
      <c r="I792" s="52">
        <v>0</v>
      </c>
      <c r="J792" s="52">
        <v>751000000</v>
      </c>
      <c r="K792" s="53" t="s">
        <v>2290</v>
      </c>
      <c r="L792" s="52" t="s">
        <v>1548</v>
      </c>
      <c r="M792" s="53" t="s">
        <v>2290</v>
      </c>
      <c r="N792" s="52" t="s">
        <v>241</v>
      </c>
      <c r="O792" s="52" t="s">
        <v>1548</v>
      </c>
      <c r="P792" s="53" t="s">
        <v>1524</v>
      </c>
      <c r="Q792" s="52">
        <v>796</v>
      </c>
      <c r="R792" s="52" t="s">
        <v>1818</v>
      </c>
      <c r="S792" s="54">
        <v>1</v>
      </c>
      <c r="T792" s="54">
        <f t="shared" si="56"/>
        <v>14000</v>
      </c>
      <c r="U792" s="54">
        <f t="shared" si="55"/>
        <v>14250</v>
      </c>
      <c r="V792" s="68">
        <v>15960</v>
      </c>
      <c r="W792" s="54"/>
      <c r="X792" s="52">
        <v>2012</v>
      </c>
      <c r="Y792" s="52"/>
      <c r="Z792" s="171"/>
    </row>
    <row r="793" spans="1:26" s="55" customFormat="1" ht="76.5">
      <c r="A793" s="65"/>
      <c r="B793" s="52" t="s">
        <v>2557</v>
      </c>
      <c r="C793" s="78" t="s">
        <v>246</v>
      </c>
      <c r="D793" s="58" t="s">
        <v>2544</v>
      </c>
      <c r="E793" s="56" t="s">
        <v>2558</v>
      </c>
      <c r="F793" s="53" t="s">
        <v>2559</v>
      </c>
      <c r="G793" s="53"/>
      <c r="H793" s="52" t="s">
        <v>243</v>
      </c>
      <c r="I793" s="52">
        <v>0</v>
      </c>
      <c r="J793" s="52">
        <v>751000000</v>
      </c>
      <c r="K793" s="53" t="s">
        <v>2290</v>
      </c>
      <c r="L793" s="52" t="s">
        <v>2547</v>
      </c>
      <c r="M793" s="53" t="s">
        <v>2290</v>
      </c>
      <c r="N793" s="52" t="s">
        <v>241</v>
      </c>
      <c r="O793" s="52" t="s">
        <v>1471</v>
      </c>
      <c r="P793" s="53" t="s">
        <v>1524</v>
      </c>
      <c r="Q793" s="52">
        <v>796</v>
      </c>
      <c r="R793" s="52" t="s">
        <v>1818</v>
      </c>
      <c r="S793" s="54">
        <v>1</v>
      </c>
      <c r="T793" s="54">
        <f t="shared" si="56"/>
        <v>0</v>
      </c>
      <c r="U793" s="54">
        <f t="shared" si="55"/>
        <v>0</v>
      </c>
      <c r="V793" s="68">
        <v>0</v>
      </c>
      <c r="W793" s="54"/>
      <c r="X793" s="52">
        <v>2012</v>
      </c>
      <c r="Y793" s="52" t="s">
        <v>2661</v>
      </c>
    </row>
    <row r="794" spans="1:26" s="55" customFormat="1" ht="76.5">
      <c r="A794" s="65"/>
      <c r="B794" s="52" t="s">
        <v>2673</v>
      </c>
      <c r="C794" s="78" t="s">
        <v>246</v>
      </c>
      <c r="D794" s="58" t="s">
        <v>2544</v>
      </c>
      <c r="E794" s="56" t="s">
        <v>2558</v>
      </c>
      <c r="F794" s="53" t="s">
        <v>2559</v>
      </c>
      <c r="G794" s="53"/>
      <c r="H794" s="52" t="s">
        <v>243</v>
      </c>
      <c r="I794" s="52">
        <v>0</v>
      </c>
      <c r="J794" s="52">
        <v>751000000</v>
      </c>
      <c r="K794" s="53" t="s">
        <v>2290</v>
      </c>
      <c r="L794" s="52" t="s">
        <v>1548</v>
      </c>
      <c r="M794" s="53" t="s">
        <v>2290</v>
      </c>
      <c r="N794" s="52" t="s">
        <v>241</v>
      </c>
      <c r="O794" s="52" t="s">
        <v>1548</v>
      </c>
      <c r="P794" s="53" t="s">
        <v>1524</v>
      </c>
      <c r="Q794" s="52">
        <v>796</v>
      </c>
      <c r="R794" s="52" t="s">
        <v>1818</v>
      </c>
      <c r="S794" s="54">
        <v>1</v>
      </c>
      <c r="T794" s="54">
        <f t="shared" si="56"/>
        <v>1473.6842105263158</v>
      </c>
      <c r="U794" s="54">
        <f t="shared" si="55"/>
        <v>1500</v>
      </c>
      <c r="V794" s="68">
        <v>1680</v>
      </c>
      <c r="W794" s="54"/>
      <c r="X794" s="52">
        <v>2012</v>
      </c>
      <c r="Y794" s="52"/>
    </row>
    <row r="795" spans="1:26" s="55" customFormat="1" ht="63.75">
      <c r="A795" s="65"/>
      <c r="B795" s="52" t="s">
        <v>2560</v>
      </c>
      <c r="C795" s="78" t="s">
        <v>246</v>
      </c>
      <c r="D795" s="58" t="s">
        <v>2544</v>
      </c>
      <c r="E795" s="56" t="s">
        <v>2561</v>
      </c>
      <c r="F795" s="56" t="s">
        <v>2562</v>
      </c>
      <c r="G795" s="56"/>
      <c r="H795" s="52" t="s">
        <v>243</v>
      </c>
      <c r="I795" s="52">
        <v>0</v>
      </c>
      <c r="J795" s="52">
        <v>751000000</v>
      </c>
      <c r="K795" s="53" t="s">
        <v>2290</v>
      </c>
      <c r="L795" s="52" t="s">
        <v>2547</v>
      </c>
      <c r="M795" s="53" t="s">
        <v>2290</v>
      </c>
      <c r="N795" s="52" t="s">
        <v>241</v>
      </c>
      <c r="O795" s="52" t="s">
        <v>1471</v>
      </c>
      <c r="P795" s="53" t="s">
        <v>1524</v>
      </c>
      <c r="Q795" s="52">
        <v>796</v>
      </c>
      <c r="R795" s="52" t="s">
        <v>1818</v>
      </c>
      <c r="S795" s="54">
        <v>1</v>
      </c>
      <c r="T795" s="54">
        <f t="shared" si="56"/>
        <v>0</v>
      </c>
      <c r="U795" s="54">
        <f t="shared" si="55"/>
        <v>0</v>
      </c>
      <c r="V795" s="68">
        <v>0</v>
      </c>
      <c r="W795" s="54"/>
      <c r="X795" s="52">
        <v>2012</v>
      </c>
      <c r="Y795" s="52" t="s">
        <v>2661</v>
      </c>
      <c r="Z795" s="171"/>
    </row>
    <row r="796" spans="1:26" s="55" customFormat="1" ht="63.75">
      <c r="A796" s="65"/>
      <c r="B796" s="52" t="s">
        <v>2674</v>
      </c>
      <c r="C796" s="78" t="s">
        <v>246</v>
      </c>
      <c r="D796" s="58" t="s">
        <v>2544</v>
      </c>
      <c r="E796" s="56" t="s">
        <v>2561</v>
      </c>
      <c r="F796" s="56" t="s">
        <v>2562</v>
      </c>
      <c r="G796" s="56"/>
      <c r="H796" s="52" t="s">
        <v>243</v>
      </c>
      <c r="I796" s="52">
        <v>0</v>
      </c>
      <c r="J796" s="52">
        <v>751000000</v>
      </c>
      <c r="K796" s="53" t="s">
        <v>2290</v>
      </c>
      <c r="L796" s="52" t="s">
        <v>1548</v>
      </c>
      <c r="M796" s="53" t="s">
        <v>2290</v>
      </c>
      <c r="N796" s="52" t="s">
        <v>241</v>
      </c>
      <c r="O796" s="52" t="s">
        <v>1548</v>
      </c>
      <c r="P796" s="53" t="s">
        <v>1524</v>
      </c>
      <c r="Q796" s="52">
        <v>796</v>
      </c>
      <c r="R796" s="52" t="s">
        <v>1818</v>
      </c>
      <c r="S796" s="54">
        <v>1</v>
      </c>
      <c r="T796" s="54">
        <f t="shared" si="56"/>
        <v>2505.2631578947371</v>
      </c>
      <c r="U796" s="54">
        <f t="shared" si="55"/>
        <v>2550</v>
      </c>
      <c r="V796" s="68">
        <v>2856</v>
      </c>
      <c r="W796" s="54"/>
      <c r="X796" s="52">
        <v>2012</v>
      </c>
      <c r="Y796" s="52"/>
      <c r="Z796" s="171"/>
    </row>
    <row r="797" spans="1:26" s="55" customFormat="1" ht="127.5">
      <c r="A797" s="65"/>
      <c r="B797" s="52" t="s">
        <v>2563</v>
      </c>
      <c r="C797" s="78" t="s">
        <v>246</v>
      </c>
      <c r="D797" s="58" t="s">
        <v>2564</v>
      </c>
      <c r="E797" s="56" t="s">
        <v>2565</v>
      </c>
      <c r="F797" s="56" t="s">
        <v>2566</v>
      </c>
      <c r="G797" s="53"/>
      <c r="H797" s="52" t="s">
        <v>243</v>
      </c>
      <c r="I797" s="52">
        <v>0</v>
      </c>
      <c r="J797" s="52">
        <v>751000000</v>
      </c>
      <c r="K797" s="53" t="s">
        <v>2290</v>
      </c>
      <c r="L797" s="52" t="s">
        <v>2547</v>
      </c>
      <c r="M797" s="53" t="s">
        <v>2290</v>
      </c>
      <c r="N797" s="52" t="s">
        <v>241</v>
      </c>
      <c r="O797" s="52" t="s">
        <v>1471</v>
      </c>
      <c r="P797" s="53" t="s">
        <v>1524</v>
      </c>
      <c r="Q797" s="52">
        <v>796</v>
      </c>
      <c r="R797" s="52" t="s">
        <v>1818</v>
      </c>
      <c r="S797" s="54">
        <v>1</v>
      </c>
      <c r="T797" s="54">
        <f t="shared" si="56"/>
        <v>0</v>
      </c>
      <c r="U797" s="54">
        <f t="shared" si="55"/>
        <v>0</v>
      </c>
      <c r="V797" s="68">
        <v>0</v>
      </c>
      <c r="W797" s="54"/>
      <c r="X797" s="52">
        <v>2012</v>
      </c>
      <c r="Y797" s="52" t="s">
        <v>2661</v>
      </c>
      <c r="Z797" s="171"/>
    </row>
    <row r="798" spans="1:26" s="55" customFormat="1" ht="127.5">
      <c r="A798" s="65"/>
      <c r="B798" s="52" t="s">
        <v>2675</v>
      </c>
      <c r="C798" s="78" t="s">
        <v>246</v>
      </c>
      <c r="D798" s="58" t="s">
        <v>2564</v>
      </c>
      <c r="E798" s="56" t="s">
        <v>2565</v>
      </c>
      <c r="F798" s="56" t="s">
        <v>2566</v>
      </c>
      <c r="G798" s="53"/>
      <c r="H798" s="52" t="s">
        <v>243</v>
      </c>
      <c r="I798" s="52">
        <v>0</v>
      </c>
      <c r="J798" s="52">
        <v>751000000</v>
      </c>
      <c r="K798" s="53" t="s">
        <v>2290</v>
      </c>
      <c r="L798" s="52" t="s">
        <v>1548</v>
      </c>
      <c r="M798" s="53" t="s">
        <v>2290</v>
      </c>
      <c r="N798" s="52" t="s">
        <v>241</v>
      </c>
      <c r="O798" s="52" t="s">
        <v>1548</v>
      </c>
      <c r="P798" s="53" t="s">
        <v>1524</v>
      </c>
      <c r="Q798" s="52">
        <v>796</v>
      </c>
      <c r="R798" s="52" t="s">
        <v>1818</v>
      </c>
      <c r="S798" s="54">
        <v>1</v>
      </c>
      <c r="T798" s="54">
        <f t="shared" si="56"/>
        <v>44210.526315789473</v>
      </c>
      <c r="U798" s="54">
        <f t="shared" si="55"/>
        <v>45000</v>
      </c>
      <c r="V798" s="68">
        <v>50400</v>
      </c>
      <c r="W798" s="54"/>
      <c r="X798" s="52">
        <v>2012</v>
      </c>
      <c r="Y798" s="52"/>
      <c r="Z798" s="171"/>
    </row>
    <row r="799" spans="1:26" s="55" customFormat="1" ht="89.25">
      <c r="A799" s="65"/>
      <c r="B799" s="52" t="s">
        <v>2567</v>
      </c>
      <c r="C799" s="78" t="s">
        <v>246</v>
      </c>
      <c r="D799" s="58" t="s">
        <v>1966</v>
      </c>
      <c r="E799" s="56" t="s">
        <v>2568</v>
      </c>
      <c r="F799" s="56" t="s">
        <v>2569</v>
      </c>
      <c r="G799" s="53"/>
      <c r="H799" s="52" t="s">
        <v>243</v>
      </c>
      <c r="I799" s="52">
        <v>0</v>
      </c>
      <c r="J799" s="52">
        <v>751000000</v>
      </c>
      <c r="K799" s="53" t="s">
        <v>2290</v>
      </c>
      <c r="L799" s="52" t="s">
        <v>2547</v>
      </c>
      <c r="M799" s="53" t="s">
        <v>2290</v>
      </c>
      <c r="N799" s="52" t="s">
        <v>241</v>
      </c>
      <c r="O799" s="52" t="s">
        <v>1471</v>
      </c>
      <c r="P799" s="53" t="s">
        <v>1524</v>
      </c>
      <c r="Q799" s="52">
        <v>796</v>
      </c>
      <c r="R799" s="52" t="s">
        <v>1818</v>
      </c>
      <c r="S799" s="54">
        <v>1</v>
      </c>
      <c r="T799" s="54">
        <f t="shared" si="56"/>
        <v>0</v>
      </c>
      <c r="U799" s="54">
        <f t="shared" si="55"/>
        <v>0</v>
      </c>
      <c r="V799" s="68">
        <v>0</v>
      </c>
      <c r="W799" s="54"/>
      <c r="X799" s="52">
        <v>2012</v>
      </c>
      <c r="Y799" s="52" t="s">
        <v>2661</v>
      </c>
      <c r="Z799" s="171"/>
    </row>
    <row r="800" spans="1:26" s="55" customFormat="1" ht="89.25">
      <c r="A800" s="65"/>
      <c r="B800" s="52" t="s">
        <v>2676</v>
      </c>
      <c r="C800" s="78" t="s">
        <v>246</v>
      </c>
      <c r="D800" s="58" t="s">
        <v>1966</v>
      </c>
      <c r="E800" s="56" t="s">
        <v>2568</v>
      </c>
      <c r="F800" s="56" t="s">
        <v>2569</v>
      </c>
      <c r="G800" s="53"/>
      <c r="H800" s="52" t="s">
        <v>243</v>
      </c>
      <c r="I800" s="52">
        <v>0</v>
      </c>
      <c r="J800" s="52">
        <v>751000000</v>
      </c>
      <c r="K800" s="53" t="s">
        <v>2290</v>
      </c>
      <c r="L800" s="52" t="s">
        <v>1548</v>
      </c>
      <c r="M800" s="53" t="s">
        <v>2290</v>
      </c>
      <c r="N800" s="52" t="s">
        <v>241</v>
      </c>
      <c r="O800" s="52" t="s">
        <v>1548</v>
      </c>
      <c r="P800" s="53" t="s">
        <v>1524</v>
      </c>
      <c r="Q800" s="52">
        <v>796</v>
      </c>
      <c r="R800" s="52" t="s">
        <v>1818</v>
      </c>
      <c r="S800" s="54">
        <v>1</v>
      </c>
      <c r="T800" s="54">
        <f t="shared" si="56"/>
        <v>18175.438596491229</v>
      </c>
      <c r="U800" s="54">
        <f t="shared" si="55"/>
        <v>18500</v>
      </c>
      <c r="V800" s="68">
        <v>20720</v>
      </c>
      <c r="W800" s="54"/>
      <c r="X800" s="52">
        <v>2012</v>
      </c>
      <c r="Y800" s="52"/>
      <c r="Z800" s="171">
        <f>'[4]Приложение 1'!$V$748</f>
        <v>377881610.62</v>
      </c>
    </row>
    <row r="801" spans="1:28" s="55" customFormat="1" ht="114.75">
      <c r="B801" s="52" t="s">
        <v>2703</v>
      </c>
      <c r="C801" s="78" t="s">
        <v>246</v>
      </c>
      <c r="D801" s="58" t="s">
        <v>1963</v>
      </c>
      <c r="E801" s="56" t="s">
        <v>94</v>
      </c>
      <c r="F801" s="56" t="s">
        <v>94</v>
      </c>
      <c r="G801" s="56"/>
      <c r="H801" s="52" t="s">
        <v>243</v>
      </c>
      <c r="I801" s="52">
        <v>0</v>
      </c>
      <c r="J801" s="52">
        <v>150000000</v>
      </c>
      <c r="K801" s="53" t="s">
        <v>96</v>
      </c>
      <c r="L801" s="52" t="s">
        <v>1548</v>
      </c>
      <c r="M801" s="56" t="s">
        <v>126</v>
      </c>
      <c r="N801" s="52" t="s">
        <v>241</v>
      </c>
      <c r="O801" s="52" t="s">
        <v>1502</v>
      </c>
      <c r="P801" s="53" t="s">
        <v>344</v>
      </c>
      <c r="Q801" s="52">
        <v>839</v>
      </c>
      <c r="R801" s="52" t="s">
        <v>1818</v>
      </c>
      <c r="S801" s="54">
        <v>1</v>
      </c>
      <c r="T801" s="54">
        <f t="shared" si="56"/>
        <v>16929.824561403511</v>
      </c>
      <c r="U801" s="54">
        <f t="shared" si="55"/>
        <v>17232.142857142859</v>
      </c>
      <c r="V801" s="54">
        <v>19300</v>
      </c>
      <c r="W801" s="52"/>
      <c r="X801" s="52">
        <v>2012</v>
      </c>
      <c r="Y801" s="52"/>
    </row>
    <row r="802" spans="1:28" s="55" customFormat="1" ht="114.75">
      <c r="A802" s="65"/>
      <c r="B802" s="52" t="s">
        <v>2704</v>
      </c>
      <c r="C802" s="78" t="s">
        <v>246</v>
      </c>
      <c r="D802" s="169" t="s">
        <v>2124</v>
      </c>
      <c r="E802" s="53" t="s">
        <v>2705</v>
      </c>
      <c r="F802" s="170" t="s">
        <v>2706</v>
      </c>
      <c r="G802" s="53"/>
      <c r="H802" s="52" t="s">
        <v>243</v>
      </c>
      <c r="I802" s="52">
        <v>0</v>
      </c>
      <c r="J802" s="52">
        <v>751000000</v>
      </c>
      <c r="K802" s="53" t="s">
        <v>2435</v>
      </c>
      <c r="L802" s="169" t="s">
        <v>2707</v>
      </c>
      <c r="M802" s="170" t="s">
        <v>2338</v>
      </c>
      <c r="N802" s="169" t="s">
        <v>241</v>
      </c>
      <c r="O802" s="169" t="s">
        <v>2708</v>
      </c>
      <c r="P802" s="170" t="s">
        <v>344</v>
      </c>
      <c r="Q802" s="52">
        <v>839</v>
      </c>
      <c r="R802" s="52" t="s">
        <v>1818</v>
      </c>
      <c r="S802" s="54">
        <v>2</v>
      </c>
      <c r="T802" s="54">
        <f t="shared" si="56"/>
        <v>263157.89473684214</v>
      </c>
      <c r="U802" s="54">
        <f t="shared" si="55"/>
        <v>535714.28571428568</v>
      </c>
      <c r="V802" s="68">
        <v>600000</v>
      </c>
      <c r="W802" s="54"/>
      <c r="X802" s="52">
        <v>2012</v>
      </c>
      <c r="Y802" s="52"/>
      <c r="Z802" s="171"/>
    </row>
    <row r="803" spans="1:28" s="55" customFormat="1" ht="140.25">
      <c r="A803" s="65"/>
      <c r="B803" s="52" t="s">
        <v>2709</v>
      </c>
      <c r="C803" s="78" t="s">
        <v>246</v>
      </c>
      <c r="D803" s="55" t="s">
        <v>2716</v>
      </c>
      <c r="E803" s="53" t="s">
        <v>2710</v>
      </c>
      <c r="F803" s="141" t="s">
        <v>2711</v>
      </c>
      <c r="G803" s="53"/>
      <c r="H803" s="52" t="s">
        <v>243</v>
      </c>
      <c r="I803" s="52">
        <v>0</v>
      </c>
      <c r="J803" s="52">
        <v>751000000</v>
      </c>
      <c r="K803" s="53" t="s">
        <v>2435</v>
      </c>
      <c r="L803" s="52" t="s">
        <v>2707</v>
      </c>
      <c r="M803" s="53" t="s">
        <v>2338</v>
      </c>
      <c r="N803" s="52" t="s">
        <v>241</v>
      </c>
      <c r="O803" s="52" t="s">
        <v>2708</v>
      </c>
      <c r="P803" s="170" t="s">
        <v>344</v>
      </c>
      <c r="Q803" s="52">
        <v>839</v>
      </c>
      <c r="R803" s="52" t="s">
        <v>1818</v>
      </c>
      <c r="S803" s="54">
        <v>2</v>
      </c>
      <c r="T803" s="54">
        <f t="shared" si="56"/>
        <v>160964.91228070177</v>
      </c>
      <c r="U803" s="54">
        <f t="shared" si="55"/>
        <v>327678.57142857142</v>
      </c>
      <c r="V803" s="68">
        <v>367000</v>
      </c>
      <c r="W803" s="54"/>
      <c r="X803" s="52">
        <v>2012</v>
      </c>
      <c r="Y803" s="52"/>
      <c r="Z803" s="171"/>
    </row>
    <row r="804" spans="1:28" s="55" customFormat="1" ht="153">
      <c r="A804" s="65"/>
      <c r="B804" s="52" t="s">
        <v>2712</v>
      </c>
      <c r="C804" s="78" t="s">
        <v>246</v>
      </c>
      <c r="D804" s="172" t="s">
        <v>2713</v>
      </c>
      <c r="E804" s="53" t="s">
        <v>2714</v>
      </c>
      <c r="F804" s="141" t="s">
        <v>2715</v>
      </c>
      <c r="H804" s="52" t="s">
        <v>243</v>
      </c>
      <c r="I804" s="52">
        <v>0</v>
      </c>
      <c r="J804" s="52">
        <v>751000000</v>
      </c>
      <c r="K804" s="53" t="s">
        <v>2435</v>
      </c>
      <c r="L804" s="52" t="s">
        <v>2707</v>
      </c>
      <c r="M804" s="53" t="s">
        <v>2338</v>
      </c>
      <c r="N804" s="52" t="s">
        <v>241</v>
      </c>
      <c r="O804" s="52" t="s">
        <v>2708</v>
      </c>
      <c r="P804" s="170" t="s">
        <v>344</v>
      </c>
      <c r="Q804" s="52">
        <v>839</v>
      </c>
      <c r="R804" s="52" t="s">
        <v>1818</v>
      </c>
      <c r="S804" s="54">
        <v>1</v>
      </c>
      <c r="T804" s="54">
        <f t="shared" si="56"/>
        <v>157894.73684210528</v>
      </c>
      <c r="U804" s="54">
        <f t="shared" si="55"/>
        <v>160714.28571428571</v>
      </c>
      <c r="V804" s="68">
        <v>180000</v>
      </c>
      <c r="W804" s="54"/>
      <c r="X804" s="52">
        <v>2012</v>
      </c>
      <c r="Y804" s="52"/>
      <c r="Z804" s="171"/>
    </row>
    <row r="805" spans="1:28" s="55" customFormat="1" ht="51">
      <c r="B805" s="52" t="s">
        <v>2813</v>
      </c>
      <c r="C805" s="78" t="s">
        <v>246</v>
      </c>
      <c r="D805" s="52" t="s">
        <v>2814</v>
      </c>
      <c r="E805" s="56" t="s">
        <v>2815</v>
      </c>
      <c r="F805" s="56" t="s">
        <v>2816</v>
      </c>
      <c r="G805" s="56"/>
      <c r="H805" s="52" t="s">
        <v>243</v>
      </c>
      <c r="I805" s="52">
        <v>0</v>
      </c>
      <c r="J805" s="52">
        <v>751000000</v>
      </c>
      <c r="K805" s="53" t="s">
        <v>2290</v>
      </c>
      <c r="L805" s="52" t="s">
        <v>1502</v>
      </c>
      <c r="M805" s="53" t="s">
        <v>2290</v>
      </c>
      <c r="N805" s="52" t="s">
        <v>241</v>
      </c>
      <c r="O805" s="53" t="s">
        <v>2530</v>
      </c>
      <c r="P805" s="53" t="s">
        <v>2000</v>
      </c>
      <c r="Q805" s="52">
        <v>839</v>
      </c>
      <c r="R805" s="52" t="s">
        <v>348</v>
      </c>
      <c r="S805" s="54">
        <v>6</v>
      </c>
      <c r="T805" s="54">
        <f t="shared" si="56"/>
        <v>3508.7719298245611</v>
      </c>
      <c r="U805" s="54">
        <f t="shared" si="55"/>
        <v>21428.571428571428</v>
      </c>
      <c r="V805" s="54">
        <v>24000</v>
      </c>
      <c r="W805" s="52"/>
      <c r="X805" s="52">
        <v>2012</v>
      </c>
      <c r="Y805" s="52"/>
    </row>
    <row r="806" spans="1:28" s="55" customFormat="1" ht="51">
      <c r="B806" s="52" t="s">
        <v>2817</v>
      </c>
      <c r="C806" s="78" t="s">
        <v>246</v>
      </c>
      <c r="D806" s="52" t="s">
        <v>2818</v>
      </c>
      <c r="E806" s="56" t="s">
        <v>2819</v>
      </c>
      <c r="F806" s="56" t="s">
        <v>2820</v>
      </c>
      <c r="G806" s="56"/>
      <c r="H806" s="52" t="s">
        <v>243</v>
      </c>
      <c r="I806" s="52">
        <v>0</v>
      </c>
      <c r="J806" s="52">
        <v>751000000</v>
      </c>
      <c r="K806" s="53" t="s">
        <v>2290</v>
      </c>
      <c r="L806" s="52" t="s">
        <v>1502</v>
      </c>
      <c r="M806" s="53" t="s">
        <v>2290</v>
      </c>
      <c r="N806" s="52" t="s">
        <v>241</v>
      </c>
      <c r="O806" s="53" t="s">
        <v>2530</v>
      </c>
      <c r="P806" s="53" t="s">
        <v>2000</v>
      </c>
      <c r="Q806" s="52">
        <v>839</v>
      </c>
      <c r="R806" s="52" t="s">
        <v>348</v>
      </c>
      <c r="S806" s="54">
        <v>6</v>
      </c>
      <c r="T806" s="54">
        <f t="shared" si="56"/>
        <v>877.19298245614027</v>
      </c>
      <c r="U806" s="54">
        <f t="shared" si="55"/>
        <v>5357.1428571428569</v>
      </c>
      <c r="V806" s="54">
        <v>6000</v>
      </c>
      <c r="W806" s="52"/>
      <c r="X806" s="52">
        <v>2012</v>
      </c>
      <c r="Y806" s="52"/>
    </row>
    <row r="807" spans="1:28" s="55" customFormat="1" ht="51">
      <c r="B807" s="52" t="s">
        <v>2821</v>
      </c>
      <c r="C807" s="78" t="s">
        <v>246</v>
      </c>
      <c r="D807" s="52" t="s">
        <v>2327</v>
      </c>
      <c r="E807" s="56" t="s">
        <v>2822</v>
      </c>
      <c r="F807" s="56" t="s">
        <v>2823</v>
      </c>
      <c r="G807" s="56"/>
      <c r="H807" s="52" t="s">
        <v>243</v>
      </c>
      <c r="I807" s="52">
        <v>0</v>
      </c>
      <c r="J807" s="52">
        <v>751000000</v>
      </c>
      <c r="K807" s="53" t="s">
        <v>2290</v>
      </c>
      <c r="L807" s="52" t="s">
        <v>1502</v>
      </c>
      <c r="M807" s="53" t="s">
        <v>2290</v>
      </c>
      <c r="N807" s="52" t="s">
        <v>241</v>
      </c>
      <c r="O807" s="53" t="s">
        <v>2530</v>
      </c>
      <c r="P807" s="53" t="s">
        <v>2000</v>
      </c>
      <c r="Q807" s="52">
        <v>796</v>
      </c>
      <c r="R807" s="52" t="s">
        <v>1818</v>
      </c>
      <c r="S807" s="54">
        <v>2</v>
      </c>
      <c r="T807" s="54">
        <f t="shared" si="56"/>
        <v>6578.9473684210516</v>
      </c>
      <c r="U807" s="54">
        <f t="shared" si="55"/>
        <v>13392.857142857141</v>
      </c>
      <c r="V807" s="54">
        <v>15000</v>
      </c>
      <c r="W807" s="52"/>
      <c r="X807" s="52">
        <v>2012</v>
      </c>
      <c r="Y807" s="52"/>
    </row>
    <row r="808" spans="1:28" s="55" customFormat="1" ht="51" outlineLevel="1">
      <c r="B808" s="52" t="s">
        <v>2824</v>
      </c>
      <c r="C808" s="78" t="s">
        <v>246</v>
      </c>
      <c r="D808" s="128" t="s">
        <v>265</v>
      </c>
      <c r="E808" s="56" t="s">
        <v>2825</v>
      </c>
      <c r="F808" s="53" t="s">
        <v>2826</v>
      </c>
      <c r="G808" s="53"/>
      <c r="H808" s="52" t="s">
        <v>243</v>
      </c>
      <c r="I808" s="52">
        <v>0</v>
      </c>
      <c r="J808" s="52">
        <v>190000000</v>
      </c>
      <c r="K808" s="56" t="s">
        <v>117</v>
      </c>
      <c r="L808" s="52" t="s">
        <v>1502</v>
      </c>
      <c r="M808" s="56" t="s">
        <v>117</v>
      </c>
      <c r="N808" s="52" t="s">
        <v>241</v>
      </c>
      <c r="O808" s="53" t="s">
        <v>2530</v>
      </c>
      <c r="P808" s="53" t="s">
        <v>2000</v>
      </c>
      <c r="Q808" s="52">
        <v>796</v>
      </c>
      <c r="R808" s="52" t="s">
        <v>1818</v>
      </c>
      <c r="S808" s="54">
        <v>5</v>
      </c>
      <c r="T808" s="54">
        <f t="shared" si="56"/>
        <v>5108.771929824562</v>
      </c>
      <c r="U808" s="54">
        <f t="shared" si="55"/>
        <v>26000</v>
      </c>
      <c r="V808" s="54">
        <v>29120</v>
      </c>
      <c r="W808" s="52"/>
      <c r="X808" s="52">
        <v>2012</v>
      </c>
      <c r="Y808" s="52"/>
    </row>
    <row r="809" spans="1:28" s="55" customFormat="1">
      <c r="A809" s="65"/>
      <c r="B809" s="52"/>
      <c r="C809" s="78"/>
      <c r="D809" s="172"/>
      <c r="E809" s="53"/>
      <c r="F809" s="141"/>
      <c r="H809" s="52"/>
      <c r="I809" s="52"/>
      <c r="J809" s="52"/>
      <c r="K809" s="53"/>
      <c r="L809" s="52"/>
      <c r="M809" s="53"/>
      <c r="N809" s="52"/>
      <c r="O809" s="52"/>
      <c r="P809" s="170"/>
      <c r="Q809" s="52"/>
      <c r="R809" s="52"/>
      <c r="S809" s="54"/>
      <c r="T809" s="54"/>
      <c r="U809" s="54"/>
      <c r="V809" s="68"/>
      <c r="W809" s="54"/>
      <c r="X809" s="52"/>
      <c r="Y809" s="52"/>
      <c r="Z809" s="171"/>
    </row>
    <row r="810" spans="1:28" s="156" customFormat="1">
      <c r="B810" s="157"/>
      <c r="C810" s="139"/>
      <c r="D810" s="157"/>
      <c r="E810" s="158"/>
      <c r="F810" s="158"/>
      <c r="G810" s="158"/>
      <c r="H810" s="158"/>
      <c r="I810" s="157"/>
      <c r="J810" s="157"/>
      <c r="K810" s="158"/>
      <c r="L810" s="157"/>
      <c r="M810" s="158"/>
      <c r="N810" s="157"/>
      <c r="O810" s="157"/>
      <c r="P810" s="159"/>
      <c r="Q810" s="157"/>
      <c r="R810" s="157"/>
      <c r="S810" s="160"/>
      <c r="T810" s="161"/>
      <c r="U810" s="161"/>
      <c r="V810" s="160">
        <f>SUM(V10:V808)</f>
        <v>377872730.62</v>
      </c>
      <c r="W810" s="157"/>
      <c r="X810" s="157"/>
      <c r="Y810" s="162"/>
      <c r="Z810" s="185">
        <f>'[5]Приложение 1'!$V$781</f>
        <v>377843610.62</v>
      </c>
      <c r="AB810" s="185">
        <f>V810-Z810</f>
        <v>29120</v>
      </c>
    </row>
    <row r="811" spans="1:28" s="55" customFormat="1">
      <c r="B811" s="194" t="s">
        <v>1629</v>
      </c>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AB811" s="171">
        <f>AB810-V808</f>
        <v>0</v>
      </c>
    </row>
    <row r="812" spans="1:28" s="55" customFormat="1" ht="63.75">
      <c r="B812" s="52" t="s">
        <v>26</v>
      </c>
      <c r="C812" s="78" t="s">
        <v>246</v>
      </c>
      <c r="D812" s="128" t="s">
        <v>2332</v>
      </c>
      <c r="E812" s="56" t="s">
        <v>152</v>
      </c>
      <c r="F812" s="56" t="s">
        <v>1620</v>
      </c>
      <c r="G812" s="56"/>
      <c r="H812" s="52" t="s">
        <v>243</v>
      </c>
      <c r="I812" s="52">
        <v>100</v>
      </c>
      <c r="J812" s="52">
        <v>751000000</v>
      </c>
      <c r="K812" s="53" t="s">
        <v>2290</v>
      </c>
      <c r="L812" s="53" t="s">
        <v>2472</v>
      </c>
      <c r="M812" s="53" t="s">
        <v>2290</v>
      </c>
      <c r="N812" s="52"/>
      <c r="O812" s="53" t="s">
        <v>2472</v>
      </c>
      <c r="P812" s="53" t="s">
        <v>1512</v>
      </c>
      <c r="Q812" s="52"/>
      <c r="R812" s="52"/>
      <c r="S812" s="54"/>
      <c r="T812" s="52"/>
      <c r="U812" s="54">
        <f t="shared" ref="U812:U885" si="57">V812/112*100</f>
        <v>3842624.2857142859</v>
      </c>
      <c r="V812" s="54">
        <f>[1]представ!$G$60</f>
        <v>4303739.2</v>
      </c>
      <c r="W812" s="52"/>
      <c r="X812" s="52">
        <v>2012</v>
      </c>
      <c r="Y812" s="52"/>
    </row>
    <row r="813" spans="1:28" s="55" customFormat="1" ht="102">
      <c r="B813" s="52" t="s">
        <v>27</v>
      </c>
      <c r="C813" s="78" t="s">
        <v>246</v>
      </c>
      <c r="D813" s="52" t="s">
        <v>285</v>
      </c>
      <c r="E813" s="56" t="s">
        <v>1517</v>
      </c>
      <c r="F813" s="53" t="s">
        <v>1518</v>
      </c>
      <c r="G813" s="53"/>
      <c r="H813" s="52" t="s">
        <v>243</v>
      </c>
      <c r="I813" s="52">
        <v>10</v>
      </c>
      <c r="J813" s="52">
        <v>751000000</v>
      </c>
      <c r="K813" s="53" t="s">
        <v>2290</v>
      </c>
      <c r="L813" s="52" t="s">
        <v>1503</v>
      </c>
      <c r="M813" s="53" t="s">
        <v>2290</v>
      </c>
      <c r="N813" s="52"/>
      <c r="O813" s="53" t="s">
        <v>1975</v>
      </c>
      <c r="P813" s="53" t="s">
        <v>1674</v>
      </c>
      <c r="Q813" s="52"/>
      <c r="R813" s="52"/>
      <c r="S813" s="54"/>
      <c r="T813" s="54"/>
      <c r="U813" s="54">
        <f>V813/112*100</f>
        <v>589285.71428571432</v>
      </c>
      <c r="V813" s="54">
        <f>'[1]рем ОС и НМА'!$E$2</f>
        <v>660000</v>
      </c>
      <c r="W813" s="52"/>
      <c r="X813" s="52">
        <v>2012</v>
      </c>
      <c r="Y813" s="52"/>
      <c r="Z813" s="182"/>
    </row>
    <row r="814" spans="1:28" s="55" customFormat="1" ht="102">
      <c r="B814" s="52" t="s">
        <v>28</v>
      </c>
      <c r="C814" s="78" t="s">
        <v>246</v>
      </c>
      <c r="D814" s="52" t="s">
        <v>285</v>
      </c>
      <c r="E814" s="56" t="s">
        <v>1840</v>
      </c>
      <c r="F814" s="53" t="s">
        <v>1518</v>
      </c>
      <c r="G814" s="53"/>
      <c r="H814" s="52" t="s">
        <v>243</v>
      </c>
      <c r="I814" s="52">
        <v>10</v>
      </c>
      <c r="J814" s="52">
        <v>751000000</v>
      </c>
      <c r="K814" s="53" t="s">
        <v>2290</v>
      </c>
      <c r="L814" s="52" t="s">
        <v>1503</v>
      </c>
      <c r="M814" s="53" t="s">
        <v>2290</v>
      </c>
      <c r="N814" s="52"/>
      <c r="O814" s="53" t="s">
        <v>1975</v>
      </c>
      <c r="P814" s="53" t="s">
        <v>1674</v>
      </c>
      <c r="Q814" s="52"/>
      <c r="R814" s="52"/>
      <c r="S814" s="54"/>
      <c r="T814" s="54"/>
      <c r="U814" s="54">
        <f>V814/112*100</f>
        <v>2589285.7142857141</v>
      </c>
      <c r="V814" s="54">
        <f>'[1]рем ОС и НМА'!$E$3</f>
        <v>2900000</v>
      </c>
      <c r="W814" s="52"/>
      <c r="X814" s="52">
        <v>2012</v>
      </c>
      <c r="Y814" s="52"/>
      <c r="Z814" s="182"/>
    </row>
    <row r="815" spans="1:28" s="55" customFormat="1" ht="102">
      <c r="B815" s="52" t="s">
        <v>240</v>
      </c>
      <c r="C815" s="78" t="s">
        <v>246</v>
      </c>
      <c r="D815" s="52" t="s">
        <v>288</v>
      </c>
      <c r="E815" s="56" t="s">
        <v>205</v>
      </c>
      <c r="F815" s="53" t="s">
        <v>1519</v>
      </c>
      <c r="G815" s="53"/>
      <c r="H815" s="52" t="s">
        <v>243</v>
      </c>
      <c r="I815" s="52">
        <v>70</v>
      </c>
      <c r="J815" s="52">
        <v>751000000</v>
      </c>
      <c r="K815" s="53" t="s">
        <v>2290</v>
      </c>
      <c r="L815" s="52" t="s">
        <v>1503</v>
      </c>
      <c r="M815" s="53" t="s">
        <v>2290</v>
      </c>
      <c r="N815" s="52"/>
      <c r="O815" s="53" t="s">
        <v>1975</v>
      </c>
      <c r="P815" s="53" t="s">
        <v>1674</v>
      </c>
      <c r="Q815" s="52"/>
      <c r="R815" s="52"/>
      <c r="S815" s="54"/>
      <c r="T815" s="54"/>
      <c r="U815" s="54">
        <f t="shared" si="57"/>
        <v>2232142.8571428573</v>
      </c>
      <c r="V815" s="54">
        <f>'[1]рем ОС и НМА'!$E$5</f>
        <v>2500000</v>
      </c>
      <c r="W815" s="52"/>
      <c r="X815" s="52">
        <v>2012</v>
      </c>
      <c r="Y815" s="52"/>
    </row>
    <row r="816" spans="1:28" s="55" customFormat="1" ht="102">
      <c r="B816" s="52" t="s">
        <v>349</v>
      </c>
      <c r="C816" s="78" t="s">
        <v>246</v>
      </c>
      <c r="D816" s="52" t="s">
        <v>288</v>
      </c>
      <c r="E816" s="56" t="s">
        <v>206</v>
      </c>
      <c r="F816" s="53" t="s">
        <v>1520</v>
      </c>
      <c r="G816" s="53"/>
      <c r="H816" s="52" t="s">
        <v>243</v>
      </c>
      <c r="I816" s="52">
        <v>70</v>
      </c>
      <c r="J816" s="52">
        <v>751000000</v>
      </c>
      <c r="K816" s="53" t="s">
        <v>2290</v>
      </c>
      <c r="L816" s="52" t="s">
        <v>1503</v>
      </c>
      <c r="M816" s="53" t="s">
        <v>2290</v>
      </c>
      <c r="N816" s="52"/>
      <c r="O816" s="53" t="s">
        <v>1975</v>
      </c>
      <c r="P816" s="53" t="s">
        <v>1674</v>
      </c>
      <c r="Q816" s="52"/>
      <c r="R816" s="52"/>
      <c r="S816" s="54"/>
      <c r="T816" s="54"/>
      <c r="U816" s="54">
        <f t="shared" si="57"/>
        <v>1250000</v>
      </c>
      <c r="V816" s="54">
        <f>'[1]рем ОС и НМА'!$E$6</f>
        <v>1400000</v>
      </c>
      <c r="W816" s="52"/>
      <c r="X816" s="52">
        <v>2012</v>
      </c>
      <c r="Y816" s="52"/>
    </row>
    <row r="817" spans="2:26" s="55" customFormat="1" ht="114.75">
      <c r="B817" s="52" t="s">
        <v>350</v>
      </c>
      <c r="C817" s="78" t="s">
        <v>246</v>
      </c>
      <c r="D817" s="52" t="s">
        <v>286</v>
      </c>
      <c r="E817" s="56" t="s">
        <v>156</v>
      </c>
      <c r="F817" s="53" t="s">
        <v>1521</v>
      </c>
      <c r="G817" s="53"/>
      <c r="H817" s="52" t="s">
        <v>243</v>
      </c>
      <c r="I817" s="52">
        <v>10</v>
      </c>
      <c r="J817" s="52">
        <v>751000000</v>
      </c>
      <c r="K817" s="53" t="s">
        <v>2290</v>
      </c>
      <c r="L817" s="52" t="s">
        <v>1503</v>
      </c>
      <c r="M817" s="53" t="s">
        <v>2290</v>
      </c>
      <c r="N817" s="52"/>
      <c r="O817" s="52" t="s">
        <v>343</v>
      </c>
      <c r="P817" s="53" t="s">
        <v>344</v>
      </c>
      <c r="Q817" s="52"/>
      <c r="R817" s="52"/>
      <c r="S817" s="54"/>
      <c r="T817" s="54"/>
      <c r="U817" s="54">
        <f t="shared" si="57"/>
        <v>0</v>
      </c>
      <c r="V817" s="54">
        <v>0</v>
      </c>
      <c r="W817" s="52"/>
      <c r="X817" s="52">
        <v>2012</v>
      </c>
      <c r="Y817" s="52">
        <v>21</v>
      </c>
    </row>
    <row r="818" spans="2:26" s="55" customFormat="1" ht="114.75">
      <c r="B818" s="52" t="s">
        <v>2717</v>
      </c>
      <c r="C818" s="78" t="s">
        <v>246</v>
      </c>
      <c r="D818" s="52" t="s">
        <v>286</v>
      </c>
      <c r="E818" s="56" t="s">
        <v>156</v>
      </c>
      <c r="F818" s="53" t="s">
        <v>1521</v>
      </c>
      <c r="G818" s="53"/>
      <c r="H818" s="52" t="s">
        <v>243</v>
      </c>
      <c r="I818" s="52">
        <v>10</v>
      </c>
      <c r="J818" s="52">
        <v>751000000</v>
      </c>
      <c r="K818" s="53" t="s">
        <v>2290</v>
      </c>
      <c r="L818" s="52" t="s">
        <v>1503</v>
      </c>
      <c r="M818" s="53" t="s">
        <v>2290</v>
      </c>
      <c r="N818" s="52"/>
      <c r="O818" s="52" t="s">
        <v>343</v>
      </c>
      <c r="P818" s="53" t="s">
        <v>344</v>
      </c>
      <c r="Q818" s="52"/>
      <c r="R818" s="52"/>
      <c r="S818" s="54"/>
      <c r="T818" s="54"/>
      <c r="U818" s="54">
        <f t="shared" si="57"/>
        <v>1372800</v>
      </c>
      <c r="V818" s="54">
        <f>1747200-209664</f>
        <v>1537536</v>
      </c>
      <c r="W818" s="52"/>
      <c r="X818" s="52">
        <v>2012</v>
      </c>
      <c r="Y818" s="52"/>
    </row>
    <row r="819" spans="2:26" s="55" customFormat="1" ht="102">
      <c r="B819" s="52" t="s">
        <v>351</v>
      </c>
      <c r="C819" s="78" t="s">
        <v>246</v>
      </c>
      <c r="D819" s="52" t="s">
        <v>288</v>
      </c>
      <c r="E819" s="56" t="s">
        <v>209</v>
      </c>
      <c r="F819" s="53" t="s">
        <v>1466</v>
      </c>
      <c r="G819" s="53"/>
      <c r="H819" s="52" t="s">
        <v>243</v>
      </c>
      <c r="I819" s="52">
        <v>100</v>
      </c>
      <c r="J819" s="52">
        <v>751000000</v>
      </c>
      <c r="K819" s="53" t="s">
        <v>2290</v>
      </c>
      <c r="L819" s="53" t="s">
        <v>1468</v>
      </c>
      <c r="M819" s="53" t="s">
        <v>2290</v>
      </c>
      <c r="N819" s="52"/>
      <c r="O819" s="53" t="s">
        <v>1975</v>
      </c>
      <c r="P819" s="53" t="s">
        <v>1469</v>
      </c>
      <c r="Q819" s="52"/>
      <c r="R819" s="52"/>
      <c r="S819" s="54"/>
      <c r="T819" s="52"/>
      <c r="U819" s="54">
        <f t="shared" si="57"/>
        <v>1071428.5714285714</v>
      </c>
      <c r="V819" s="54">
        <f>'[1]рем ОС и НМА'!$E$17</f>
        <v>1200000</v>
      </c>
      <c r="W819" s="52"/>
      <c r="X819" s="52">
        <v>2012</v>
      </c>
      <c r="Y819" s="52"/>
      <c r="Z819" s="171"/>
    </row>
    <row r="820" spans="2:26" s="55" customFormat="1" ht="114.75">
      <c r="B820" s="52" t="s">
        <v>352</v>
      </c>
      <c r="C820" s="78" t="s">
        <v>246</v>
      </c>
      <c r="D820" s="52" t="s">
        <v>288</v>
      </c>
      <c r="E820" s="56" t="s">
        <v>153</v>
      </c>
      <c r="F820" s="53" t="s">
        <v>1467</v>
      </c>
      <c r="G820" s="53"/>
      <c r="H820" s="52" t="s">
        <v>243</v>
      </c>
      <c r="I820" s="52">
        <v>100</v>
      </c>
      <c r="J820" s="52">
        <v>751000000</v>
      </c>
      <c r="K820" s="53" t="s">
        <v>2290</v>
      </c>
      <c r="L820" s="53" t="s">
        <v>1468</v>
      </c>
      <c r="M820" s="53" t="s">
        <v>2290</v>
      </c>
      <c r="N820" s="52"/>
      <c r="O820" s="53" t="s">
        <v>1975</v>
      </c>
      <c r="P820" s="53" t="s">
        <v>1469</v>
      </c>
      <c r="Q820" s="52"/>
      <c r="R820" s="52"/>
      <c r="S820" s="54"/>
      <c r="T820" s="52"/>
      <c r="U820" s="54">
        <f t="shared" si="57"/>
        <v>1285714.2857142857</v>
      </c>
      <c r="V820" s="54">
        <f>'[1]рем ОС и НМА'!$E$18</f>
        <v>1440000</v>
      </c>
      <c r="W820" s="52"/>
      <c r="X820" s="52">
        <v>2012</v>
      </c>
      <c r="Y820" s="52"/>
      <c r="Z820" s="171"/>
    </row>
    <row r="821" spans="2:26" s="55" customFormat="1" ht="102">
      <c r="B821" s="52" t="s">
        <v>353</v>
      </c>
      <c r="C821" s="78" t="s">
        <v>246</v>
      </c>
      <c r="D821" s="52" t="s">
        <v>288</v>
      </c>
      <c r="E821" s="56" t="s">
        <v>154</v>
      </c>
      <c r="F821" s="56" t="s">
        <v>2275</v>
      </c>
      <c r="G821" s="56"/>
      <c r="H821" s="52" t="s">
        <v>243</v>
      </c>
      <c r="I821" s="52">
        <v>100</v>
      </c>
      <c r="J821" s="52">
        <v>751000000</v>
      </c>
      <c r="K821" s="53" t="s">
        <v>2290</v>
      </c>
      <c r="L821" s="53" t="s">
        <v>1558</v>
      </c>
      <c r="M821" s="53" t="s">
        <v>2290</v>
      </c>
      <c r="N821" s="52"/>
      <c r="O821" s="52" t="s">
        <v>1558</v>
      </c>
      <c r="P821" s="53" t="s">
        <v>1469</v>
      </c>
      <c r="Q821" s="52"/>
      <c r="R821" s="52"/>
      <c r="S821" s="54"/>
      <c r="T821" s="52"/>
      <c r="U821" s="54">
        <f t="shared" ref="U821:U824" si="58">V821/112*100</f>
        <v>535714.28571428568</v>
      </c>
      <c r="V821" s="54">
        <v>600000</v>
      </c>
      <c r="W821" s="52"/>
      <c r="X821" s="52">
        <v>2012</v>
      </c>
      <c r="Y821" s="52"/>
    </row>
    <row r="822" spans="2:26" s="55" customFormat="1" ht="102">
      <c r="B822" s="52" t="s">
        <v>354</v>
      </c>
      <c r="C822" s="78" t="s">
        <v>246</v>
      </c>
      <c r="D822" s="52" t="s">
        <v>288</v>
      </c>
      <c r="E822" s="56" t="s">
        <v>2464</v>
      </c>
      <c r="F822" s="56" t="s">
        <v>1457</v>
      </c>
      <c r="G822" s="56"/>
      <c r="H822" s="52" t="s">
        <v>243</v>
      </c>
      <c r="I822" s="52">
        <v>100</v>
      </c>
      <c r="J822" s="52">
        <v>751000000</v>
      </c>
      <c r="K822" s="53" t="s">
        <v>2290</v>
      </c>
      <c r="L822" s="53" t="s">
        <v>1503</v>
      </c>
      <c r="M822" s="53" t="s">
        <v>2290</v>
      </c>
      <c r="N822" s="52"/>
      <c r="O822" s="53" t="s">
        <v>2460</v>
      </c>
      <c r="P822" s="53" t="s">
        <v>1469</v>
      </c>
      <c r="Q822" s="52"/>
      <c r="R822" s="52"/>
      <c r="S822" s="54"/>
      <c r="T822" s="52"/>
      <c r="U822" s="54">
        <f t="shared" si="58"/>
        <v>625928.57142857148</v>
      </c>
      <c r="V822" s="54">
        <f>'[1]рем ОС и НМА'!$E$12</f>
        <v>701040</v>
      </c>
      <c r="W822" s="52"/>
      <c r="X822" s="52">
        <v>2012</v>
      </c>
      <c r="Y822" s="52"/>
    </row>
    <row r="823" spans="2:26" s="55" customFormat="1" ht="102">
      <c r="B823" s="52" t="s">
        <v>355</v>
      </c>
      <c r="C823" s="78" t="s">
        <v>246</v>
      </c>
      <c r="D823" s="52" t="s">
        <v>288</v>
      </c>
      <c r="E823" s="56" t="s">
        <v>155</v>
      </c>
      <c r="F823" s="56" t="s">
        <v>2276</v>
      </c>
      <c r="G823" s="56"/>
      <c r="H823" s="52" t="s">
        <v>243</v>
      </c>
      <c r="I823" s="52">
        <v>100</v>
      </c>
      <c r="J823" s="52">
        <v>751000000</v>
      </c>
      <c r="K823" s="53" t="s">
        <v>2290</v>
      </c>
      <c r="L823" s="53" t="s">
        <v>1471</v>
      </c>
      <c r="M823" s="53" t="s">
        <v>2290</v>
      </c>
      <c r="N823" s="52"/>
      <c r="O823" s="53" t="s">
        <v>2460</v>
      </c>
      <c r="P823" s="53" t="s">
        <v>1469</v>
      </c>
      <c r="Q823" s="52"/>
      <c r="R823" s="52"/>
      <c r="S823" s="54"/>
      <c r="T823" s="52"/>
      <c r="U823" s="54">
        <f t="shared" si="58"/>
        <v>0</v>
      </c>
      <c r="V823" s="54">
        <v>0</v>
      </c>
      <c r="W823" s="52"/>
      <c r="X823" s="52">
        <v>2012</v>
      </c>
      <c r="Y823" s="52">
        <v>11</v>
      </c>
    </row>
    <row r="824" spans="2:26" s="55" customFormat="1" ht="102">
      <c r="B824" s="52" t="s">
        <v>2718</v>
      </c>
      <c r="C824" s="78" t="s">
        <v>246</v>
      </c>
      <c r="D824" s="52" t="s">
        <v>288</v>
      </c>
      <c r="E824" s="56" t="s">
        <v>155</v>
      </c>
      <c r="F824" s="56" t="s">
        <v>2276</v>
      </c>
      <c r="G824" s="56"/>
      <c r="H824" s="52" t="s">
        <v>243</v>
      </c>
      <c r="I824" s="52">
        <v>100</v>
      </c>
      <c r="J824" s="52">
        <v>751000000</v>
      </c>
      <c r="K824" s="53" t="s">
        <v>2290</v>
      </c>
      <c r="L824" s="53" t="s">
        <v>2719</v>
      </c>
      <c r="M824" s="53" t="s">
        <v>2290</v>
      </c>
      <c r="N824" s="52"/>
      <c r="O824" s="53" t="s">
        <v>2460</v>
      </c>
      <c r="P824" s="53" t="s">
        <v>1469</v>
      </c>
      <c r="Q824" s="52"/>
      <c r="R824" s="52"/>
      <c r="S824" s="54"/>
      <c r="T824" s="52"/>
      <c r="U824" s="54">
        <f t="shared" si="58"/>
        <v>142857.14285714287</v>
      </c>
      <c r="V824" s="54">
        <v>160000</v>
      </c>
      <c r="W824" s="52"/>
      <c r="X824" s="52">
        <v>2012</v>
      </c>
      <c r="Y824" s="52"/>
    </row>
    <row r="825" spans="2:26" s="55" customFormat="1" ht="102">
      <c r="B825" s="52" t="s">
        <v>356</v>
      </c>
      <c r="C825" s="78" t="s">
        <v>246</v>
      </c>
      <c r="D825" s="52" t="s">
        <v>289</v>
      </c>
      <c r="E825" s="56" t="s">
        <v>1509</v>
      </c>
      <c r="F825" s="53" t="s">
        <v>1466</v>
      </c>
      <c r="G825" s="53"/>
      <c r="H825" s="52" t="s">
        <v>243</v>
      </c>
      <c r="I825" s="52">
        <v>100</v>
      </c>
      <c r="J825" s="52">
        <v>751000000</v>
      </c>
      <c r="K825" s="53" t="s">
        <v>2290</v>
      </c>
      <c r="L825" s="53" t="s">
        <v>1468</v>
      </c>
      <c r="M825" s="53" t="s">
        <v>2290</v>
      </c>
      <c r="N825" s="52"/>
      <c r="O825" s="53" t="s">
        <v>1975</v>
      </c>
      <c r="P825" s="53" t="s">
        <v>1469</v>
      </c>
      <c r="Q825" s="52"/>
      <c r="R825" s="52"/>
      <c r="S825" s="54"/>
      <c r="T825" s="52"/>
      <c r="U825" s="54">
        <f t="shared" si="57"/>
        <v>500000</v>
      </c>
      <c r="V825" s="54">
        <f>'[1]рем ОС и НМА'!$E$19</f>
        <v>560000</v>
      </c>
      <c r="W825" s="52"/>
      <c r="X825" s="52">
        <v>2012</v>
      </c>
      <c r="Y825" s="52"/>
    </row>
    <row r="826" spans="2:26" s="55" customFormat="1" ht="102">
      <c r="B826" s="52" t="s">
        <v>357</v>
      </c>
      <c r="C826" s="78" t="s">
        <v>246</v>
      </c>
      <c r="D826" s="52" t="s">
        <v>284</v>
      </c>
      <c r="E826" s="56" t="s">
        <v>1623</v>
      </c>
      <c r="F826" s="53" t="s">
        <v>1562</v>
      </c>
      <c r="G826" s="53"/>
      <c r="H826" s="52" t="s">
        <v>243</v>
      </c>
      <c r="I826" s="52">
        <v>100</v>
      </c>
      <c r="J826" s="52">
        <v>751000000</v>
      </c>
      <c r="K826" s="53" t="s">
        <v>2290</v>
      </c>
      <c r="L826" s="53" t="s">
        <v>1548</v>
      </c>
      <c r="M826" s="53" t="s">
        <v>2290</v>
      </c>
      <c r="N826" s="52"/>
      <c r="O826" s="53" t="s">
        <v>2460</v>
      </c>
      <c r="P826" s="53" t="s">
        <v>1469</v>
      </c>
      <c r="Q826" s="52"/>
      <c r="R826" s="52"/>
      <c r="S826" s="54"/>
      <c r="T826" s="52"/>
      <c r="U826" s="54">
        <f t="shared" ref="U826:U834" si="59">V826/112*100</f>
        <v>1607142.857142857</v>
      </c>
      <c r="V826" s="54">
        <v>1800000</v>
      </c>
      <c r="W826" s="52"/>
      <c r="X826" s="52">
        <v>2012</v>
      </c>
      <c r="Y826" s="52"/>
    </row>
    <row r="827" spans="2:26" s="55" customFormat="1" ht="102">
      <c r="B827" s="52" t="s">
        <v>358</v>
      </c>
      <c r="C827" s="78" t="s">
        <v>246</v>
      </c>
      <c r="D827" s="52" t="s">
        <v>288</v>
      </c>
      <c r="E827" s="56" t="s">
        <v>1841</v>
      </c>
      <c r="F827" s="53" t="s">
        <v>2277</v>
      </c>
      <c r="G827" s="53"/>
      <c r="H827" s="52" t="s">
        <v>243</v>
      </c>
      <c r="I827" s="52">
        <v>100</v>
      </c>
      <c r="J827" s="52">
        <v>751000000</v>
      </c>
      <c r="K827" s="53" t="s">
        <v>2290</v>
      </c>
      <c r="L827" s="53" t="s">
        <v>1471</v>
      </c>
      <c r="M827" s="53" t="s">
        <v>2290</v>
      </c>
      <c r="N827" s="52"/>
      <c r="O827" s="53" t="s">
        <v>2176</v>
      </c>
      <c r="P827" s="53" t="s">
        <v>1469</v>
      </c>
      <c r="Q827" s="52"/>
      <c r="R827" s="52"/>
      <c r="S827" s="54"/>
      <c r="T827" s="52"/>
      <c r="U827" s="54">
        <f t="shared" si="59"/>
        <v>0</v>
      </c>
      <c r="V827" s="54">
        <v>0</v>
      </c>
      <c r="W827" s="52"/>
      <c r="X827" s="52">
        <v>2012</v>
      </c>
      <c r="Y827" s="52">
        <v>11</v>
      </c>
    </row>
    <row r="828" spans="2:26" s="55" customFormat="1" ht="102">
      <c r="B828" s="52" t="s">
        <v>2720</v>
      </c>
      <c r="C828" s="78" t="s">
        <v>246</v>
      </c>
      <c r="D828" s="52" t="s">
        <v>288</v>
      </c>
      <c r="E828" s="56" t="s">
        <v>1841</v>
      </c>
      <c r="F828" s="53" t="s">
        <v>2277</v>
      </c>
      <c r="G828" s="53"/>
      <c r="H828" s="52" t="s">
        <v>243</v>
      </c>
      <c r="I828" s="52">
        <v>100</v>
      </c>
      <c r="J828" s="52">
        <v>751000000</v>
      </c>
      <c r="K828" s="53" t="s">
        <v>2290</v>
      </c>
      <c r="L828" s="53" t="s">
        <v>2721</v>
      </c>
      <c r="M828" s="53" t="s">
        <v>2290</v>
      </c>
      <c r="N828" s="52"/>
      <c r="O828" s="53" t="s">
        <v>2176</v>
      </c>
      <c r="P828" s="53" t="s">
        <v>1469</v>
      </c>
      <c r="Q828" s="52"/>
      <c r="R828" s="52"/>
      <c r="S828" s="54"/>
      <c r="T828" s="52"/>
      <c r="U828" s="54">
        <f t="shared" si="59"/>
        <v>446428.57142857148</v>
      </c>
      <c r="V828" s="54">
        <f>'[1]рем ОС и НМА'!$E$14</f>
        <v>500000</v>
      </c>
      <c r="W828" s="52"/>
      <c r="X828" s="52">
        <v>2012</v>
      </c>
      <c r="Y828" s="52"/>
    </row>
    <row r="829" spans="2:26" s="55" customFormat="1" ht="102">
      <c r="B829" s="52" t="s">
        <v>1662</v>
      </c>
      <c r="C829" s="78" t="s">
        <v>246</v>
      </c>
      <c r="D829" s="52" t="s">
        <v>287</v>
      </c>
      <c r="E829" s="56" t="s">
        <v>1842</v>
      </c>
      <c r="F829" s="56" t="s">
        <v>2278</v>
      </c>
      <c r="G829" s="56"/>
      <c r="H829" s="52" t="s">
        <v>243</v>
      </c>
      <c r="I829" s="57">
        <v>90</v>
      </c>
      <c r="J829" s="52">
        <v>751000000</v>
      </c>
      <c r="K829" s="53" t="s">
        <v>2290</v>
      </c>
      <c r="L829" s="52" t="s">
        <v>1471</v>
      </c>
      <c r="M829" s="53" t="s">
        <v>2290</v>
      </c>
      <c r="N829" s="52"/>
      <c r="O829" s="53" t="s">
        <v>2176</v>
      </c>
      <c r="P829" s="53" t="s">
        <v>1469</v>
      </c>
      <c r="Q829" s="52"/>
      <c r="R829" s="52"/>
      <c r="S829" s="54"/>
      <c r="T829" s="52"/>
      <c r="U829" s="54">
        <f t="shared" si="59"/>
        <v>0</v>
      </c>
      <c r="V829" s="64">
        <v>0</v>
      </c>
      <c r="W829" s="52"/>
      <c r="X829" s="52">
        <v>2012</v>
      </c>
      <c r="Y829" s="52">
        <v>11</v>
      </c>
    </row>
    <row r="830" spans="2:26" s="55" customFormat="1" ht="102">
      <c r="B830" s="52" t="s">
        <v>2722</v>
      </c>
      <c r="C830" s="78" t="s">
        <v>246</v>
      </c>
      <c r="D830" s="52" t="s">
        <v>287</v>
      </c>
      <c r="E830" s="56" t="s">
        <v>1842</v>
      </c>
      <c r="F830" s="56" t="s">
        <v>2278</v>
      </c>
      <c r="G830" s="56"/>
      <c r="H830" s="52" t="s">
        <v>243</v>
      </c>
      <c r="I830" s="57">
        <v>90</v>
      </c>
      <c r="J830" s="52">
        <v>751000000</v>
      </c>
      <c r="K830" s="53" t="s">
        <v>2290</v>
      </c>
      <c r="L830" s="53" t="s">
        <v>2719</v>
      </c>
      <c r="M830" s="53" t="s">
        <v>2290</v>
      </c>
      <c r="N830" s="52"/>
      <c r="O830" s="53" t="s">
        <v>2176</v>
      </c>
      <c r="P830" s="53" t="s">
        <v>1469</v>
      </c>
      <c r="Q830" s="52"/>
      <c r="R830" s="52"/>
      <c r="S830" s="54"/>
      <c r="T830" s="52"/>
      <c r="U830" s="54">
        <f t="shared" si="59"/>
        <v>107142.85714285713</v>
      </c>
      <c r="V830" s="64">
        <f>'[1]рем ОС и НМА'!$E$22</f>
        <v>120000</v>
      </c>
      <c r="W830" s="52"/>
      <c r="X830" s="52">
        <v>2012</v>
      </c>
      <c r="Y830" s="52"/>
    </row>
    <row r="831" spans="2:26" s="55" customFormat="1" ht="102">
      <c r="B831" s="52" t="s">
        <v>359</v>
      </c>
      <c r="C831" s="78" t="s">
        <v>246</v>
      </c>
      <c r="D831" s="52" t="s">
        <v>287</v>
      </c>
      <c r="E831" s="56" t="s">
        <v>1618</v>
      </c>
      <c r="F831" s="56" t="s">
        <v>1619</v>
      </c>
      <c r="G831" s="56"/>
      <c r="H831" s="52" t="s">
        <v>243</v>
      </c>
      <c r="I831" s="57">
        <v>90</v>
      </c>
      <c r="J831" s="52">
        <v>751000000</v>
      </c>
      <c r="K831" s="53" t="s">
        <v>2290</v>
      </c>
      <c r="L831" s="52" t="s">
        <v>2192</v>
      </c>
      <c r="M831" s="53" t="s">
        <v>2290</v>
      </c>
      <c r="N831" s="52"/>
      <c r="O831" s="53" t="s">
        <v>2193</v>
      </c>
      <c r="P831" s="53" t="s">
        <v>1469</v>
      </c>
      <c r="Q831" s="52"/>
      <c r="R831" s="52"/>
      <c r="S831" s="54"/>
      <c r="T831" s="52"/>
      <c r="U831" s="54">
        <f t="shared" si="59"/>
        <v>0</v>
      </c>
      <c r="V831" s="64">
        <v>0</v>
      </c>
      <c r="W831" s="52"/>
      <c r="X831" s="52">
        <v>2012</v>
      </c>
      <c r="Y831" s="52">
        <v>11.14</v>
      </c>
    </row>
    <row r="832" spans="2:26" s="55" customFormat="1" ht="102">
      <c r="B832" s="52" t="s">
        <v>2827</v>
      </c>
      <c r="C832" s="78" t="s">
        <v>246</v>
      </c>
      <c r="D832" s="52" t="s">
        <v>287</v>
      </c>
      <c r="E832" s="56" t="s">
        <v>1618</v>
      </c>
      <c r="F832" s="56" t="s">
        <v>1619</v>
      </c>
      <c r="G832" s="56"/>
      <c r="H832" s="52" t="s">
        <v>243</v>
      </c>
      <c r="I832" s="57">
        <v>90</v>
      </c>
      <c r="J832" s="52">
        <v>751000000</v>
      </c>
      <c r="K832" s="53" t="s">
        <v>2290</v>
      </c>
      <c r="L832" s="52" t="s">
        <v>2476</v>
      </c>
      <c r="M832" s="53" t="s">
        <v>2290</v>
      </c>
      <c r="N832" s="52"/>
      <c r="O832" s="53" t="s">
        <v>2828</v>
      </c>
      <c r="P832" s="53" t="s">
        <v>1469</v>
      </c>
      <c r="Q832" s="52"/>
      <c r="R832" s="52"/>
      <c r="S832" s="54"/>
      <c r="T832" s="52"/>
      <c r="U832" s="54">
        <f t="shared" si="59"/>
        <v>625000</v>
      </c>
      <c r="V832" s="64">
        <f>'[1]рем ОС и НМА'!$E$7</f>
        <v>700000</v>
      </c>
      <c r="W832" s="52"/>
      <c r="X832" s="52">
        <v>2012</v>
      </c>
      <c r="Y832" s="52"/>
    </row>
    <row r="833" spans="2:25" s="55" customFormat="1" ht="102">
      <c r="B833" s="52" t="s">
        <v>360</v>
      </c>
      <c r="C833" s="78" t="s">
        <v>246</v>
      </c>
      <c r="D833" s="52" t="s">
        <v>287</v>
      </c>
      <c r="E833" s="56" t="s">
        <v>1843</v>
      </c>
      <c r="F833" s="56" t="s">
        <v>1619</v>
      </c>
      <c r="G833" s="56"/>
      <c r="H833" s="52" t="s">
        <v>243</v>
      </c>
      <c r="I833" s="57">
        <v>90</v>
      </c>
      <c r="J833" s="52">
        <v>751000000</v>
      </c>
      <c r="K833" s="53" t="s">
        <v>2290</v>
      </c>
      <c r="L833" s="52" t="s">
        <v>2192</v>
      </c>
      <c r="M833" s="53" t="s">
        <v>2290</v>
      </c>
      <c r="N833" s="52"/>
      <c r="O833" s="53" t="s">
        <v>2193</v>
      </c>
      <c r="P833" s="53" t="s">
        <v>1469</v>
      </c>
      <c r="Q833" s="52"/>
      <c r="R833" s="52"/>
      <c r="S833" s="54"/>
      <c r="T833" s="52"/>
      <c r="U833" s="54">
        <f t="shared" si="59"/>
        <v>0</v>
      </c>
      <c r="V833" s="64">
        <v>0</v>
      </c>
      <c r="W833" s="52"/>
      <c r="X833" s="52">
        <v>2012</v>
      </c>
      <c r="Y833" s="52">
        <v>11.14</v>
      </c>
    </row>
    <row r="834" spans="2:25" s="55" customFormat="1" ht="102">
      <c r="B834" s="52" t="s">
        <v>2829</v>
      </c>
      <c r="C834" s="78" t="s">
        <v>246</v>
      </c>
      <c r="D834" s="52" t="s">
        <v>287</v>
      </c>
      <c r="E834" s="56" t="s">
        <v>1843</v>
      </c>
      <c r="F834" s="56" t="s">
        <v>1619</v>
      </c>
      <c r="G834" s="56"/>
      <c r="H834" s="52" t="s">
        <v>243</v>
      </c>
      <c r="I834" s="57">
        <v>90</v>
      </c>
      <c r="J834" s="52">
        <v>751000000</v>
      </c>
      <c r="K834" s="53" t="s">
        <v>2290</v>
      </c>
      <c r="L834" s="52" t="s">
        <v>2476</v>
      </c>
      <c r="M834" s="53" t="s">
        <v>2290</v>
      </c>
      <c r="N834" s="52"/>
      <c r="O834" s="53" t="s">
        <v>2828</v>
      </c>
      <c r="P834" s="53" t="s">
        <v>1469</v>
      </c>
      <c r="Q834" s="52"/>
      <c r="R834" s="52"/>
      <c r="S834" s="54"/>
      <c r="T834" s="52"/>
      <c r="U834" s="54">
        <f t="shared" si="59"/>
        <v>2232142.8571428573</v>
      </c>
      <c r="V834" s="64">
        <f>'[1]рем ОС и НМА'!$E$8</f>
        <v>2500000</v>
      </c>
      <c r="W834" s="52"/>
      <c r="X834" s="52">
        <v>2012</v>
      </c>
      <c r="Y834" s="52"/>
    </row>
    <row r="835" spans="2:25" s="55" customFormat="1" ht="102">
      <c r="B835" s="52" t="s">
        <v>361</v>
      </c>
      <c r="C835" s="78" t="s">
        <v>246</v>
      </c>
      <c r="D835" s="52" t="s">
        <v>287</v>
      </c>
      <c r="E835" s="56" t="s">
        <v>1969</v>
      </c>
      <c r="F835" s="56" t="s">
        <v>1619</v>
      </c>
      <c r="G835" s="56"/>
      <c r="H835" s="52" t="s">
        <v>243</v>
      </c>
      <c r="I835" s="57">
        <v>90</v>
      </c>
      <c r="J835" s="52">
        <v>751000000</v>
      </c>
      <c r="K835" s="53" t="s">
        <v>2290</v>
      </c>
      <c r="L835" s="52" t="s">
        <v>1502</v>
      </c>
      <c r="M835" s="53" t="s">
        <v>2290</v>
      </c>
      <c r="N835" s="52"/>
      <c r="O835" s="52" t="s">
        <v>1685</v>
      </c>
      <c r="P835" s="53" t="s">
        <v>1567</v>
      </c>
      <c r="Q835" s="52"/>
      <c r="R835" s="52"/>
      <c r="S835" s="54"/>
      <c r="T835" s="52"/>
      <c r="U835" s="54">
        <f t="shared" si="57"/>
        <v>535714.28571428568</v>
      </c>
      <c r="V835" s="64">
        <f>'[1]рем ОС и НМА'!$E$9</f>
        <v>600000</v>
      </c>
      <c r="W835" s="52"/>
      <c r="X835" s="52">
        <v>2012</v>
      </c>
      <c r="Y835" s="52"/>
    </row>
    <row r="836" spans="2:25" s="55" customFormat="1" ht="105" customHeight="1">
      <c r="B836" s="52" t="s">
        <v>362</v>
      </c>
      <c r="C836" s="78" t="s">
        <v>246</v>
      </c>
      <c r="D836" s="52" t="s">
        <v>287</v>
      </c>
      <c r="E836" s="56" t="s">
        <v>1844</v>
      </c>
      <c r="F836" s="56" t="s">
        <v>2194</v>
      </c>
      <c r="G836" s="56"/>
      <c r="H836" s="52" t="s">
        <v>243</v>
      </c>
      <c r="I836" s="57">
        <v>50</v>
      </c>
      <c r="J836" s="52">
        <v>751000000</v>
      </c>
      <c r="K836" s="53" t="s">
        <v>2290</v>
      </c>
      <c r="L836" s="52" t="s">
        <v>1548</v>
      </c>
      <c r="M836" s="53" t="s">
        <v>2290</v>
      </c>
      <c r="N836" s="52"/>
      <c r="O836" s="53" t="s">
        <v>2193</v>
      </c>
      <c r="P836" s="53" t="s">
        <v>1567</v>
      </c>
      <c r="Q836" s="52"/>
      <c r="R836" s="52"/>
      <c r="S836" s="54"/>
      <c r="T836" s="52"/>
      <c r="U836" s="54">
        <f t="shared" si="57"/>
        <v>1517857.142857143</v>
      </c>
      <c r="V836" s="64">
        <f>'[1]рем ОС и НМА'!$E$10</f>
        <v>1700000</v>
      </c>
      <c r="W836" s="52"/>
      <c r="X836" s="52">
        <v>2012</v>
      </c>
      <c r="Y836" s="52"/>
    </row>
    <row r="837" spans="2:25" s="55" customFormat="1" ht="102">
      <c r="B837" s="52" t="s">
        <v>363</v>
      </c>
      <c r="C837" s="78" t="s">
        <v>246</v>
      </c>
      <c r="D837" s="52" t="s">
        <v>1973</v>
      </c>
      <c r="E837" s="56" t="s">
        <v>1845</v>
      </c>
      <c r="F837" s="56" t="s">
        <v>1619</v>
      </c>
      <c r="G837" s="56"/>
      <c r="H837" s="52" t="s">
        <v>243</v>
      </c>
      <c r="I837" s="57">
        <v>90</v>
      </c>
      <c r="J837" s="52">
        <v>751000000</v>
      </c>
      <c r="K837" s="53" t="s">
        <v>2290</v>
      </c>
      <c r="L837" s="52" t="s">
        <v>343</v>
      </c>
      <c r="M837" s="53" t="s">
        <v>2290</v>
      </c>
      <c r="N837" s="52"/>
      <c r="O837" s="52" t="s">
        <v>345</v>
      </c>
      <c r="P837" s="53" t="s">
        <v>1469</v>
      </c>
      <c r="Q837" s="52"/>
      <c r="R837" s="52"/>
      <c r="S837" s="54"/>
      <c r="T837" s="52"/>
      <c r="U837" s="54">
        <f t="shared" si="57"/>
        <v>0</v>
      </c>
      <c r="V837" s="64">
        <v>0</v>
      </c>
      <c r="W837" s="52"/>
      <c r="X837" s="52">
        <v>2012</v>
      </c>
      <c r="Y837" s="52">
        <v>14</v>
      </c>
    </row>
    <row r="838" spans="2:25" s="55" customFormat="1" ht="102">
      <c r="B838" s="52" t="s">
        <v>2633</v>
      </c>
      <c r="C838" s="78" t="s">
        <v>246</v>
      </c>
      <c r="D838" s="52" t="s">
        <v>1973</v>
      </c>
      <c r="E838" s="56" t="s">
        <v>1845</v>
      </c>
      <c r="F838" s="56" t="s">
        <v>1619</v>
      </c>
      <c r="G838" s="56"/>
      <c r="H838" s="52" t="s">
        <v>243</v>
      </c>
      <c r="I838" s="57">
        <v>90</v>
      </c>
      <c r="J838" s="52">
        <v>751000000</v>
      </c>
      <c r="K838" s="53" t="s">
        <v>2290</v>
      </c>
      <c r="L838" s="52" t="s">
        <v>343</v>
      </c>
      <c r="M838" s="53" t="s">
        <v>2290</v>
      </c>
      <c r="N838" s="52"/>
      <c r="O838" s="52" t="s">
        <v>2634</v>
      </c>
      <c r="P838" s="53" t="s">
        <v>1469</v>
      </c>
      <c r="Q838" s="52"/>
      <c r="R838" s="52"/>
      <c r="S838" s="54"/>
      <c r="T838" s="52"/>
      <c r="U838" s="54">
        <f t="shared" si="57"/>
        <v>2285714.2857142859</v>
      </c>
      <c r="V838" s="64">
        <f>'[1]рем ОС и НМА'!$E$16</f>
        <v>2560000</v>
      </c>
      <c r="W838" s="52"/>
      <c r="X838" s="52">
        <v>2012</v>
      </c>
      <c r="Y838" s="52"/>
    </row>
    <row r="839" spans="2:25" s="55" customFormat="1" ht="102">
      <c r="B839" s="52" t="s">
        <v>364</v>
      </c>
      <c r="C839" s="78" t="s">
        <v>246</v>
      </c>
      <c r="D839" s="52" t="s">
        <v>287</v>
      </c>
      <c r="E839" s="56" t="s">
        <v>1846</v>
      </c>
      <c r="F839" s="56" t="s">
        <v>1619</v>
      </c>
      <c r="G839" s="56"/>
      <c r="H839" s="52" t="s">
        <v>243</v>
      </c>
      <c r="I839" s="57">
        <v>90</v>
      </c>
      <c r="J839" s="52">
        <v>751000000</v>
      </c>
      <c r="K839" s="53" t="s">
        <v>2290</v>
      </c>
      <c r="L839" s="52" t="s">
        <v>1501</v>
      </c>
      <c r="M839" s="53" t="s">
        <v>2290</v>
      </c>
      <c r="N839" s="52"/>
      <c r="O839" s="52" t="s">
        <v>1685</v>
      </c>
      <c r="P839" s="53" t="s">
        <v>1469</v>
      </c>
      <c r="Q839" s="52"/>
      <c r="R839" s="52"/>
      <c r="S839" s="54"/>
      <c r="T839" s="52"/>
      <c r="U839" s="54">
        <f t="shared" si="57"/>
        <v>1785714.2857142859</v>
      </c>
      <c r="V839" s="64">
        <f>'[1]рем ОС и НМА'!$E$20</f>
        <v>2000000</v>
      </c>
      <c r="W839" s="52"/>
      <c r="X839" s="52">
        <v>2012</v>
      </c>
      <c r="Y839" s="71"/>
    </row>
    <row r="840" spans="2:25" s="55" customFormat="1" ht="118.5" customHeight="1">
      <c r="B840" s="52" t="s">
        <v>365</v>
      </c>
      <c r="C840" s="78" t="s">
        <v>246</v>
      </c>
      <c r="D840" s="52" t="s">
        <v>287</v>
      </c>
      <c r="E840" s="56" t="s">
        <v>2431</v>
      </c>
      <c r="F840" s="56" t="s">
        <v>2432</v>
      </c>
      <c r="G840" s="56"/>
      <c r="H840" s="52" t="s">
        <v>243</v>
      </c>
      <c r="I840" s="57">
        <v>90</v>
      </c>
      <c r="J840" s="52">
        <v>751000000</v>
      </c>
      <c r="K840" s="53" t="s">
        <v>2290</v>
      </c>
      <c r="L840" s="53" t="s">
        <v>1801</v>
      </c>
      <c r="M840" s="53" t="s">
        <v>2290</v>
      </c>
      <c r="N840" s="52"/>
      <c r="O840" s="53" t="s">
        <v>2441</v>
      </c>
      <c r="P840" s="53" t="s">
        <v>1469</v>
      </c>
      <c r="Q840" s="52"/>
      <c r="R840" s="52"/>
      <c r="S840" s="54"/>
      <c r="T840" s="52"/>
      <c r="U840" s="54">
        <f t="shared" si="57"/>
        <v>2500000</v>
      </c>
      <c r="V840" s="54">
        <v>2800000</v>
      </c>
      <c r="W840" s="52"/>
      <c r="X840" s="52">
        <v>2012</v>
      </c>
      <c r="Y840" s="52"/>
    </row>
    <row r="841" spans="2:25" s="55" customFormat="1" ht="102">
      <c r="B841" s="52" t="s">
        <v>366</v>
      </c>
      <c r="C841" s="78" t="s">
        <v>246</v>
      </c>
      <c r="D841" s="52" t="s">
        <v>287</v>
      </c>
      <c r="E841" s="56" t="s">
        <v>2433</v>
      </c>
      <c r="F841" s="56" t="s">
        <v>2434</v>
      </c>
      <c r="G841" s="56"/>
      <c r="H841" s="52" t="s">
        <v>243</v>
      </c>
      <c r="I841" s="57">
        <v>90</v>
      </c>
      <c r="J841" s="52">
        <v>751000000</v>
      </c>
      <c r="K841" s="53" t="s">
        <v>2435</v>
      </c>
      <c r="L841" s="53" t="s">
        <v>2442</v>
      </c>
      <c r="M841" s="53" t="s">
        <v>2435</v>
      </c>
      <c r="N841" s="52"/>
      <c r="O841" s="53" t="s">
        <v>2441</v>
      </c>
      <c r="P841" s="53" t="s">
        <v>1469</v>
      </c>
      <c r="Q841" s="52"/>
      <c r="R841" s="52"/>
      <c r="S841" s="54"/>
      <c r="T841" s="52"/>
      <c r="U841" s="54">
        <f t="shared" si="57"/>
        <v>1339285.7142857143</v>
      </c>
      <c r="V841" s="54">
        <v>1500000</v>
      </c>
      <c r="W841" s="52"/>
      <c r="X841" s="52">
        <v>2012</v>
      </c>
      <c r="Y841" s="52"/>
    </row>
    <row r="842" spans="2:25" s="55" customFormat="1" ht="102" outlineLevel="1">
      <c r="B842" s="52" t="s">
        <v>367</v>
      </c>
      <c r="C842" s="78" t="s">
        <v>246</v>
      </c>
      <c r="D842" s="52" t="s">
        <v>298</v>
      </c>
      <c r="E842" s="56" t="s">
        <v>203</v>
      </c>
      <c r="F842" s="53" t="s">
        <v>1569</v>
      </c>
      <c r="G842" s="53"/>
      <c r="H842" s="52" t="s">
        <v>243</v>
      </c>
      <c r="I842" s="52">
        <v>100</v>
      </c>
      <c r="J842" s="52">
        <v>751000000</v>
      </c>
      <c r="K842" s="53" t="s">
        <v>2290</v>
      </c>
      <c r="L842" s="52" t="s">
        <v>1503</v>
      </c>
      <c r="M842" s="53" t="s">
        <v>2290</v>
      </c>
      <c r="N842" s="52"/>
      <c r="O842" s="53" t="s">
        <v>1975</v>
      </c>
      <c r="P842" s="53" t="s">
        <v>1469</v>
      </c>
      <c r="Q842" s="52"/>
      <c r="R842" s="52"/>
      <c r="S842" s="54"/>
      <c r="T842" s="52"/>
      <c r="U842" s="54">
        <f t="shared" si="57"/>
        <v>0</v>
      </c>
      <c r="V842" s="54">
        <v>0</v>
      </c>
      <c r="W842" s="52"/>
      <c r="X842" s="52">
        <v>2012</v>
      </c>
      <c r="Y842" s="52">
        <v>21</v>
      </c>
    </row>
    <row r="843" spans="2:25" s="55" customFormat="1" ht="102" outlineLevel="1">
      <c r="B843" s="52" t="s">
        <v>2723</v>
      </c>
      <c r="C843" s="78" t="s">
        <v>246</v>
      </c>
      <c r="D843" s="52" t="s">
        <v>298</v>
      </c>
      <c r="E843" s="56" t="s">
        <v>203</v>
      </c>
      <c r="F843" s="53" t="s">
        <v>1569</v>
      </c>
      <c r="G843" s="53"/>
      <c r="H843" s="52" t="s">
        <v>243</v>
      </c>
      <c r="I843" s="52">
        <v>100</v>
      </c>
      <c r="J843" s="52">
        <v>751000000</v>
      </c>
      <c r="K843" s="53" t="s">
        <v>2290</v>
      </c>
      <c r="L843" s="52" t="s">
        <v>1503</v>
      </c>
      <c r="M843" s="53" t="s">
        <v>2290</v>
      </c>
      <c r="N843" s="52"/>
      <c r="O843" s="53" t="s">
        <v>1975</v>
      </c>
      <c r="P843" s="53" t="s">
        <v>1469</v>
      </c>
      <c r="Q843" s="52"/>
      <c r="R843" s="52"/>
      <c r="S843" s="54"/>
      <c r="T843" s="52"/>
      <c r="U843" s="54">
        <f t="shared" si="57"/>
        <v>1303271.4285714286</v>
      </c>
      <c r="V843" s="54">
        <f>1500000-40336</f>
        <v>1459664</v>
      </c>
      <c r="W843" s="52"/>
      <c r="X843" s="52">
        <v>2012</v>
      </c>
      <c r="Y843" s="52"/>
    </row>
    <row r="844" spans="2:25" s="55" customFormat="1" ht="160.5" customHeight="1">
      <c r="B844" s="52" t="s">
        <v>368</v>
      </c>
      <c r="C844" s="78" t="s">
        <v>246</v>
      </c>
      <c r="D844" s="52" t="s">
        <v>336</v>
      </c>
      <c r="E844" s="56" t="s">
        <v>1603</v>
      </c>
      <c r="F844" s="53" t="s">
        <v>1604</v>
      </c>
      <c r="G844" s="53"/>
      <c r="H844" s="52" t="s">
        <v>242</v>
      </c>
      <c r="I844" s="52">
        <v>100</v>
      </c>
      <c r="J844" s="52">
        <v>751000000</v>
      </c>
      <c r="K844" s="53" t="s">
        <v>2290</v>
      </c>
      <c r="L844" s="53" t="s">
        <v>1462</v>
      </c>
      <c r="M844" s="53" t="s">
        <v>2290</v>
      </c>
      <c r="N844" s="52"/>
      <c r="O844" s="53" t="s">
        <v>2133</v>
      </c>
      <c r="P844" s="53" t="s">
        <v>1605</v>
      </c>
      <c r="Q844" s="52"/>
      <c r="R844" s="52"/>
      <c r="S844" s="54">
        <v>150</v>
      </c>
      <c r="T844" s="52"/>
      <c r="U844" s="54">
        <v>17857143</v>
      </c>
      <c r="V844" s="54">
        <v>20000000</v>
      </c>
      <c r="W844" s="52"/>
      <c r="X844" s="52">
        <v>2012</v>
      </c>
      <c r="Y844" s="52"/>
    </row>
    <row r="845" spans="2:25" s="55" customFormat="1" ht="102">
      <c r="B845" s="52" t="s">
        <v>369</v>
      </c>
      <c r="C845" s="78" t="s">
        <v>246</v>
      </c>
      <c r="D845" s="52" t="s">
        <v>288</v>
      </c>
      <c r="E845" s="56" t="s">
        <v>210</v>
      </c>
      <c r="F845" s="53" t="s">
        <v>1596</v>
      </c>
      <c r="G845" s="53"/>
      <c r="H845" s="52" t="s">
        <v>243</v>
      </c>
      <c r="I845" s="52">
        <v>70</v>
      </c>
      <c r="J845" s="52">
        <v>110000000</v>
      </c>
      <c r="K845" s="56" t="s">
        <v>125</v>
      </c>
      <c r="L845" s="52" t="s">
        <v>1503</v>
      </c>
      <c r="M845" s="56" t="s">
        <v>125</v>
      </c>
      <c r="N845" s="52"/>
      <c r="O845" s="53" t="s">
        <v>1978</v>
      </c>
      <c r="P845" s="53" t="s">
        <v>1469</v>
      </c>
      <c r="Q845" s="52"/>
      <c r="R845" s="52"/>
      <c r="S845" s="54"/>
      <c r="T845" s="52"/>
      <c r="U845" s="54">
        <f t="shared" si="57"/>
        <v>407142.85714285716</v>
      </c>
      <c r="V845" s="54">
        <v>456000</v>
      </c>
      <c r="W845" s="52"/>
      <c r="X845" s="52">
        <v>2012</v>
      </c>
      <c r="Y845" s="52"/>
    </row>
    <row r="846" spans="2:25" s="55" customFormat="1" ht="102">
      <c r="B846" s="52" t="s">
        <v>370</v>
      </c>
      <c r="C846" s="78" t="s">
        <v>246</v>
      </c>
      <c r="D846" s="52" t="s">
        <v>288</v>
      </c>
      <c r="E846" s="56" t="s">
        <v>210</v>
      </c>
      <c r="F846" s="53" t="s">
        <v>1596</v>
      </c>
      <c r="G846" s="53"/>
      <c r="H846" s="52" t="s">
        <v>243</v>
      </c>
      <c r="I846" s="52">
        <v>70</v>
      </c>
      <c r="J846" s="52">
        <v>150000000</v>
      </c>
      <c r="K846" s="56" t="s">
        <v>126</v>
      </c>
      <c r="L846" s="52" t="s">
        <v>1503</v>
      </c>
      <c r="M846" s="56" t="s">
        <v>126</v>
      </c>
      <c r="N846" s="52"/>
      <c r="O846" s="53" t="s">
        <v>1978</v>
      </c>
      <c r="P846" s="53" t="s">
        <v>1469</v>
      </c>
      <c r="Q846" s="52"/>
      <c r="R846" s="52"/>
      <c r="S846" s="54"/>
      <c r="T846" s="52"/>
      <c r="U846" s="54">
        <f t="shared" si="57"/>
        <v>407142.85714285716</v>
      </c>
      <c r="V846" s="54">
        <v>456000</v>
      </c>
      <c r="W846" s="52"/>
      <c r="X846" s="52">
        <v>2012</v>
      </c>
      <c r="Y846" s="52"/>
    </row>
    <row r="847" spans="2:25" s="55" customFormat="1" ht="102">
      <c r="B847" s="52" t="s">
        <v>371</v>
      </c>
      <c r="C847" s="78" t="s">
        <v>246</v>
      </c>
      <c r="D847" s="52" t="s">
        <v>288</v>
      </c>
      <c r="E847" s="56" t="s">
        <v>210</v>
      </c>
      <c r="F847" s="53" t="s">
        <v>1596</v>
      </c>
      <c r="G847" s="53"/>
      <c r="H847" s="52" t="s">
        <v>243</v>
      </c>
      <c r="I847" s="52">
        <v>70</v>
      </c>
      <c r="J847" s="52">
        <v>190000000</v>
      </c>
      <c r="K847" s="56" t="s">
        <v>117</v>
      </c>
      <c r="L847" s="52" t="s">
        <v>1503</v>
      </c>
      <c r="M847" s="56" t="s">
        <v>117</v>
      </c>
      <c r="N847" s="52"/>
      <c r="O847" s="53" t="s">
        <v>1978</v>
      </c>
      <c r="P847" s="53" t="s">
        <v>1469</v>
      </c>
      <c r="Q847" s="52"/>
      <c r="R847" s="52"/>
      <c r="S847" s="54"/>
      <c r="T847" s="52"/>
      <c r="U847" s="54">
        <f t="shared" si="57"/>
        <v>407142.85714285716</v>
      </c>
      <c r="V847" s="54">
        <v>456000</v>
      </c>
      <c r="W847" s="52"/>
      <c r="X847" s="52">
        <v>2012</v>
      </c>
      <c r="Y847" s="52"/>
    </row>
    <row r="848" spans="2:25" s="55" customFormat="1" ht="102">
      <c r="B848" s="52" t="s">
        <v>372</v>
      </c>
      <c r="C848" s="78" t="s">
        <v>246</v>
      </c>
      <c r="D848" s="52" t="s">
        <v>288</v>
      </c>
      <c r="E848" s="56" t="s">
        <v>210</v>
      </c>
      <c r="F848" s="53" t="s">
        <v>1596</v>
      </c>
      <c r="G848" s="53"/>
      <c r="H848" s="52" t="s">
        <v>243</v>
      </c>
      <c r="I848" s="52">
        <v>70</v>
      </c>
      <c r="J848" s="52">
        <v>751000000</v>
      </c>
      <c r="K848" s="63" t="s">
        <v>1437</v>
      </c>
      <c r="L848" s="53" t="s">
        <v>2182</v>
      </c>
      <c r="M848" s="63" t="s">
        <v>1437</v>
      </c>
      <c r="N848" s="52"/>
      <c r="O848" s="53" t="s">
        <v>1978</v>
      </c>
      <c r="P848" s="53" t="s">
        <v>1469</v>
      </c>
      <c r="Q848" s="52"/>
      <c r="R848" s="52"/>
      <c r="S848" s="54"/>
      <c r="T848" s="52"/>
      <c r="U848" s="54">
        <f t="shared" si="57"/>
        <v>407142.85714285716</v>
      </c>
      <c r="V848" s="54">
        <v>456000</v>
      </c>
      <c r="W848" s="52"/>
      <c r="X848" s="52">
        <v>2012</v>
      </c>
      <c r="Y848" s="52"/>
    </row>
    <row r="849" spans="2:25" s="55" customFormat="1" ht="102">
      <c r="B849" s="52" t="s">
        <v>373</v>
      </c>
      <c r="C849" s="78" t="s">
        <v>246</v>
      </c>
      <c r="D849" s="52" t="s">
        <v>288</v>
      </c>
      <c r="E849" s="56" t="s">
        <v>210</v>
      </c>
      <c r="F849" s="53" t="s">
        <v>1596</v>
      </c>
      <c r="G849" s="53"/>
      <c r="H849" s="52" t="s">
        <v>243</v>
      </c>
      <c r="I849" s="52">
        <v>70</v>
      </c>
      <c r="J849" s="52">
        <v>711000000</v>
      </c>
      <c r="K849" s="56" t="s">
        <v>151</v>
      </c>
      <c r="L849" s="52" t="s">
        <v>1503</v>
      </c>
      <c r="M849" s="53" t="s">
        <v>1816</v>
      </c>
      <c r="N849" s="52"/>
      <c r="O849" s="53" t="s">
        <v>1978</v>
      </c>
      <c r="P849" s="53" t="s">
        <v>1469</v>
      </c>
      <c r="Q849" s="52"/>
      <c r="R849" s="52"/>
      <c r="S849" s="54"/>
      <c r="T849" s="52"/>
      <c r="U849" s="54">
        <f t="shared" si="57"/>
        <v>407142.85714285716</v>
      </c>
      <c r="V849" s="54">
        <v>456000</v>
      </c>
      <c r="W849" s="52"/>
      <c r="X849" s="52">
        <v>2012</v>
      </c>
      <c r="Y849" s="52"/>
    </row>
    <row r="850" spans="2:25" s="55" customFormat="1" ht="102">
      <c r="B850" s="52" t="s">
        <v>374</v>
      </c>
      <c r="C850" s="78" t="s">
        <v>246</v>
      </c>
      <c r="D850" s="52" t="s">
        <v>288</v>
      </c>
      <c r="E850" s="56" t="s">
        <v>210</v>
      </c>
      <c r="F850" s="53" t="s">
        <v>1596</v>
      </c>
      <c r="G850" s="53"/>
      <c r="H850" s="52" t="s">
        <v>243</v>
      </c>
      <c r="I850" s="52">
        <v>70</v>
      </c>
      <c r="J850" s="52">
        <v>230000000</v>
      </c>
      <c r="K850" s="56" t="s">
        <v>118</v>
      </c>
      <c r="L850" s="52" t="s">
        <v>1503</v>
      </c>
      <c r="M850" s="56" t="s">
        <v>118</v>
      </c>
      <c r="N850" s="52"/>
      <c r="O850" s="53" t="s">
        <v>1978</v>
      </c>
      <c r="P850" s="53" t="s">
        <v>1469</v>
      </c>
      <c r="Q850" s="52"/>
      <c r="R850" s="52"/>
      <c r="S850" s="54"/>
      <c r="T850" s="52"/>
      <c r="U850" s="54">
        <f t="shared" si="57"/>
        <v>407142.85714285716</v>
      </c>
      <c r="V850" s="54">
        <v>456000</v>
      </c>
      <c r="W850" s="52"/>
      <c r="X850" s="52">
        <v>2012</v>
      </c>
      <c r="Y850" s="52"/>
    </row>
    <row r="851" spans="2:25" s="55" customFormat="1" ht="102">
      <c r="B851" s="52" t="s">
        <v>375</v>
      </c>
      <c r="C851" s="78" t="s">
        <v>246</v>
      </c>
      <c r="D851" s="52" t="s">
        <v>288</v>
      </c>
      <c r="E851" s="56" t="s">
        <v>210</v>
      </c>
      <c r="F851" s="53" t="s">
        <v>1596</v>
      </c>
      <c r="G851" s="53"/>
      <c r="H851" s="52" t="s">
        <v>243</v>
      </c>
      <c r="I851" s="52">
        <v>70</v>
      </c>
      <c r="J851" s="52">
        <v>630000000</v>
      </c>
      <c r="K851" s="56" t="s">
        <v>97</v>
      </c>
      <c r="L851" s="52" t="s">
        <v>1503</v>
      </c>
      <c r="M851" s="56" t="s">
        <v>97</v>
      </c>
      <c r="N851" s="52"/>
      <c r="O851" s="53" t="s">
        <v>1978</v>
      </c>
      <c r="P851" s="53" t="s">
        <v>1469</v>
      </c>
      <c r="Q851" s="52"/>
      <c r="R851" s="52"/>
      <c r="S851" s="54"/>
      <c r="T851" s="52"/>
      <c r="U851" s="54">
        <f t="shared" si="57"/>
        <v>485892.85714285716</v>
      </c>
      <c r="V851" s="54">
        <v>544200</v>
      </c>
      <c r="W851" s="52"/>
      <c r="X851" s="52">
        <v>2012</v>
      </c>
      <c r="Y851" s="52"/>
    </row>
    <row r="852" spans="2:25" s="55" customFormat="1" ht="102">
      <c r="B852" s="52" t="s">
        <v>376</v>
      </c>
      <c r="C852" s="78" t="s">
        <v>246</v>
      </c>
      <c r="D852" s="52" t="s">
        <v>288</v>
      </c>
      <c r="E852" s="56" t="s">
        <v>210</v>
      </c>
      <c r="F852" s="53" t="s">
        <v>1596</v>
      </c>
      <c r="G852" s="53"/>
      <c r="H852" s="52" t="s">
        <v>243</v>
      </c>
      <c r="I852" s="52">
        <v>70</v>
      </c>
      <c r="J852" s="52">
        <v>310000000</v>
      </c>
      <c r="K852" s="56" t="s">
        <v>119</v>
      </c>
      <c r="L852" s="52" t="s">
        <v>1503</v>
      </c>
      <c r="M852" s="56" t="s">
        <v>119</v>
      </c>
      <c r="N852" s="52"/>
      <c r="O852" s="53" t="s">
        <v>1978</v>
      </c>
      <c r="P852" s="53" t="s">
        <v>1469</v>
      </c>
      <c r="Q852" s="52"/>
      <c r="R852" s="52"/>
      <c r="S852" s="54"/>
      <c r="T852" s="52"/>
      <c r="U852" s="54">
        <f t="shared" si="57"/>
        <v>407142.85714285716</v>
      </c>
      <c r="V852" s="54">
        <v>456000</v>
      </c>
      <c r="W852" s="52"/>
      <c r="X852" s="52">
        <v>2012</v>
      </c>
      <c r="Y852" s="52"/>
    </row>
    <row r="853" spans="2:25" s="55" customFormat="1" ht="102">
      <c r="B853" s="52" t="s">
        <v>377</v>
      </c>
      <c r="C853" s="78" t="s">
        <v>246</v>
      </c>
      <c r="D853" s="52" t="s">
        <v>288</v>
      </c>
      <c r="E853" s="56" t="s">
        <v>210</v>
      </c>
      <c r="F853" s="53" t="s">
        <v>1596</v>
      </c>
      <c r="G853" s="53"/>
      <c r="H853" s="52" t="s">
        <v>243</v>
      </c>
      <c r="I853" s="52">
        <v>70</v>
      </c>
      <c r="J853" s="52">
        <v>270000000</v>
      </c>
      <c r="K853" s="56" t="s">
        <v>98</v>
      </c>
      <c r="L853" s="52" t="s">
        <v>1503</v>
      </c>
      <c r="M853" s="56" t="s">
        <v>98</v>
      </c>
      <c r="N853" s="52"/>
      <c r="O853" s="53" t="s">
        <v>1978</v>
      </c>
      <c r="P853" s="53" t="s">
        <v>1469</v>
      </c>
      <c r="Q853" s="52"/>
      <c r="R853" s="52"/>
      <c r="S853" s="54"/>
      <c r="T853" s="52"/>
      <c r="U853" s="54">
        <f t="shared" si="57"/>
        <v>407142.85714285716</v>
      </c>
      <c r="V853" s="54">
        <v>456000</v>
      </c>
      <c r="W853" s="52"/>
      <c r="X853" s="52">
        <v>2012</v>
      </c>
      <c r="Y853" s="52"/>
    </row>
    <row r="854" spans="2:25" s="55" customFormat="1" ht="102">
      <c r="B854" s="52" t="s">
        <v>378</v>
      </c>
      <c r="C854" s="78" t="s">
        <v>246</v>
      </c>
      <c r="D854" s="52" t="s">
        <v>288</v>
      </c>
      <c r="E854" s="56" t="s">
        <v>210</v>
      </c>
      <c r="F854" s="53" t="s">
        <v>1596</v>
      </c>
      <c r="G854" s="53"/>
      <c r="H854" s="52" t="s">
        <v>243</v>
      </c>
      <c r="I854" s="52">
        <v>70</v>
      </c>
      <c r="J854" s="52">
        <v>350000000</v>
      </c>
      <c r="K854" s="56" t="s">
        <v>120</v>
      </c>
      <c r="L854" s="52" t="s">
        <v>1503</v>
      </c>
      <c r="M854" s="56" t="s">
        <v>120</v>
      </c>
      <c r="N854" s="52"/>
      <c r="O854" s="53" t="s">
        <v>1978</v>
      </c>
      <c r="P854" s="53" t="s">
        <v>1469</v>
      </c>
      <c r="Q854" s="52"/>
      <c r="R854" s="52"/>
      <c r="S854" s="54"/>
      <c r="T854" s="52"/>
      <c r="U854" s="54">
        <f t="shared" si="57"/>
        <v>485892.85714285716</v>
      </c>
      <c r="V854" s="54">
        <v>544200</v>
      </c>
      <c r="W854" s="52"/>
      <c r="X854" s="52">
        <v>2012</v>
      </c>
      <c r="Y854" s="52"/>
    </row>
    <row r="855" spans="2:25" s="55" customFormat="1" ht="102">
      <c r="B855" s="52" t="s">
        <v>379</v>
      </c>
      <c r="C855" s="78" t="s">
        <v>246</v>
      </c>
      <c r="D855" s="52" t="s">
        <v>288</v>
      </c>
      <c r="E855" s="56" t="s">
        <v>210</v>
      </c>
      <c r="F855" s="53" t="s">
        <v>1596</v>
      </c>
      <c r="G855" s="53"/>
      <c r="H855" s="52" t="s">
        <v>243</v>
      </c>
      <c r="I855" s="52">
        <v>70</v>
      </c>
      <c r="J855" s="52">
        <v>390000000</v>
      </c>
      <c r="K855" s="56" t="s">
        <v>121</v>
      </c>
      <c r="L855" s="52" t="s">
        <v>1503</v>
      </c>
      <c r="M855" s="56" t="s">
        <v>121</v>
      </c>
      <c r="N855" s="52"/>
      <c r="O855" s="53" t="s">
        <v>1978</v>
      </c>
      <c r="P855" s="53" t="s">
        <v>1469</v>
      </c>
      <c r="Q855" s="52"/>
      <c r="R855" s="52"/>
      <c r="S855" s="54"/>
      <c r="T855" s="52"/>
      <c r="U855" s="54">
        <f t="shared" si="57"/>
        <v>485892.85714285716</v>
      </c>
      <c r="V855" s="54">
        <v>544200</v>
      </c>
      <c r="W855" s="52"/>
      <c r="X855" s="52">
        <v>2012</v>
      </c>
      <c r="Y855" s="52"/>
    </row>
    <row r="856" spans="2:25" s="55" customFormat="1" ht="102">
      <c r="B856" s="52" t="s">
        <v>380</v>
      </c>
      <c r="C856" s="78" t="s">
        <v>246</v>
      </c>
      <c r="D856" s="52" t="s">
        <v>288</v>
      </c>
      <c r="E856" s="56" t="s">
        <v>210</v>
      </c>
      <c r="F856" s="53" t="s">
        <v>1596</v>
      </c>
      <c r="G856" s="53"/>
      <c r="H856" s="52" t="s">
        <v>243</v>
      </c>
      <c r="I856" s="52">
        <v>70</v>
      </c>
      <c r="J856" s="52">
        <v>430000000</v>
      </c>
      <c r="K856" s="56" t="s">
        <v>122</v>
      </c>
      <c r="L856" s="52" t="s">
        <v>1503</v>
      </c>
      <c r="M856" s="56" t="s">
        <v>122</v>
      </c>
      <c r="N856" s="52"/>
      <c r="O856" s="53" t="s">
        <v>1978</v>
      </c>
      <c r="P856" s="53" t="s">
        <v>1469</v>
      </c>
      <c r="Q856" s="52"/>
      <c r="R856" s="52"/>
      <c r="S856" s="54"/>
      <c r="T856" s="52"/>
      <c r="U856" s="54">
        <f t="shared" si="57"/>
        <v>407142.85714285716</v>
      </c>
      <c r="V856" s="54">
        <v>456000</v>
      </c>
      <c r="W856" s="52"/>
      <c r="X856" s="52">
        <v>2012</v>
      </c>
      <c r="Y856" s="52"/>
    </row>
    <row r="857" spans="2:25" s="55" customFormat="1" ht="102">
      <c r="B857" s="52" t="s">
        <v>381</v>
      </c>
      <c r="C857" s="78" t="s">
        <v>246</v>
      </c>
      <c r="D857" s="52" t="s">
        <v>288</v>
      </c>
      <c r="E857" s="56" t="s">
        <v>210</v>
      </c>
      <c r="F857" s="53" t="s">
        <v>1596</v>
      </c>
      <c r="G857" s="53"/>
      <c r="H857" s="52" t="s">
        <v>243</v>
      </c>
      <c r="I857" s="52">
        <v>70</v>
      </c>
      <c r="J857" s="52">
        <v>470000000</v>
      </c>
      <c r="K857" s="56" t="s">
        <v>123</v>
      </c>
      <c r="L857" s="52" t="s">
        <v>1503</v>
      </c>
      <c r="M857" s="56" t="s">
        <v>123</v>
      </c>
      <c r="N857" s="52"/>
      <c r="O857" s="53" t="s">
        <v>1978</v>
      </c>
      <c r="P857" s="53" t="s">
        <v>1469</v>
      </c>
      <c r="Q857" s="52"/>
      <c r="R857" s="52"/>
      <c r="S857" s="54"/>
      <c r="T857" s="52"/>
      <c r="U857" s="54">
        <f t="shared" si="57"/>
        <v>407142.85714285716</v>
      </c>
      <c r="V857" s="54">
        <v>456000</v>
      </c>
      <c r="W857" s="52"/>
      <c r="X857" s="52">
        <v>2012</v>
      </c>
      <c r="Y857" s="52"/>
    </row>
    <row r="858" spans="2:25" s="55" customFormat="1" ht="102">
      <c r="B858" s="52" t="s">
        <v>382</v>
      </c>
      <c r="C858" s="78" t="s">
        <v>246</v>
      </c>
      <c r="D858" s="52" t="s">
        <v>288</v>
      </c>
      <c r="E858" s="56" t="s">
        <v>210</v>
      </c>
      <c r="F858" s="53" t="s">
        <v>1596</v>
      </c>
      <c r="G858" s="53"/>
      <c r="H858" s="52" t="s">
        <v>243</v>
      </c>
      <c r="I858" s="52">
        <v>70</v>
      </c>
      <c r="J858" s="52">
        <v>550000000</v>
      </c>
      <c r="K858" s="56" t="s">
        <v>124</v>
      </c>
      <c r="L858" s="52" t="s">
        <v>1503</v>
      </c>
      <c r="M858" s="56" t="s">
        <v>124</v>
      </c>
      <c r="N858" s="52"/>
      <c r="O858" s="53" t="s">
        <v>1978</v>
      </c>
      <c r="P858" s="53" t="s">
        <v>1469</v>
      </c>
      <c r="Q858" s="52"/>
      <c r="R858" s="52"/>
      <c r="S858" s="54"/>
      <c r="T858" s="52"/>
      <c r="U858" s="54">
        <f t="shared" si="57"/>
        <v>407142.85714285716</v>
      </c>
      <c r="V858" s="54">
        <v>456000</v>
      </c>
      <c r="W858" s="52"/>
      <c r="X858" s="52">
        <v>2012</v>
      </c>
      <c r="Y858" s="52"/>
    </row>
    <row r="859" spans="2:25" s="55" customFormat="1" ht="102">
      <c r="B859" s="52" t="s">
        <v>383</v>
      </c>
      <c r="C859" s="78" t="s">
        <v>246</v>
      </c>
      <c r="D859" s="52" t="s">
        <v>288</v>
      </c>
      <c r="E859" s="56" t="s">
        <v>210</v>
      </c>
      <c r="F859" s="53" t="s">
        <v>1596</v>
      </c>
      <c r="G859" s="53"/>
      <c r="H859" s="52" t="s">
        <v>243</v>
      </c>
      <c r="I859" s="52">
        <v>70</v>
      </c>
      <c r="J859" s="52">
        <v>590000000</v>
      </c>
      <c r="K859" s="56" t="s">
        <v>103</v>
      </c>
      <c r="L859" s="52" t="s">
        <v>1503</v>
      </c>
      <c r="M859" s="56" t="s">
        <v>103</v>
      </c>
      <c r="N859" s="52"/>
      <c r="O859" s="53" t="s">
        <v>1978</v>
      </c>
      <c r="P859" s="53" t="s">
        <v>1469</v>
      </c>
      <c r="Q859" s="52"/>
      <c r="R859" s="52"/>
      <c r="S859" s="54"/>
      <c r="T859" s="52"/>
      <c r="U859" s="54">
        <f t="shared" si="57"/>
        <v>407142.85714285716</v>
      </c>
      <c r="V859" s="54">
        <v>456000</v>
      </c>
      <c r="W859" s="52"/>
      <c r="X859" s="52">
        <v>2012</v>
      </c>
      <c r="Y859" s="52"/>
    </row>
    <row r="860" spans="2:25" s="55" customFormat="1" ht="102">
      <c r="B860" s="52" t="s">
        <v>384</v>
      </c>
      <c r="C860" s="78" t="s">
        <v>246</v>
      </c>
      <c r="D860" s="52" t="s">
        <v>288</v>
      </c>
      <c r="E860" s="56" t="s">
        <v>210</v>
      </c>
      <c r="F860" s="53" t="s">
        <v>1596</v>
      </c>
      <c r="G860" s="53"/>
      <c r="H860" s="52" t="s">
        <v>243</v>
      </c>
      <c r="I860" s="52">
        <v>70</v>
      </c>
      <c r="J860" s="52">
        <v>510000000</v>
      </c>
      <c r="K860" s="63" t="s">
        <v>104</v>
      </c>
      <c r="L860" s="52" t="s">
        <v>1503</v>
      </c>
      <c r="M860" s="63" t="s">
        <v>104</v>
      </c>
      <c r="N860" s="52"/>
      <c r="O860" s="53" t="s">
        <v>1978</v>
      </c>
      <c r="P860" s="53" t="s">
        <v>1469</v>
      </c>
      <c r="Q860" s="52"/>
      <c r="R860" s="52"/>
      <c r="S860" s="54"/>
      <c r="T860" s="52"/>
      <c r="U860" s="54">
        <f t="shared" si="57"/>
        <v>407142.85714285716</v>
      </c>
      <c r="V860" s="54">
        <v>456000</v>
      </c>
      <c r="W860" s="52"/>
      <c r="X860" s="52">
        <v>2012</v>
      </c>
      <c r="Y860" s="52"/>
    </row>
    <row r="861" spans="2:25" s="118" customFormat="1" ht="102" outlineLevel="1">
      <c r="B861" s="113" t="s">
        <v>385</v>
      </c>
      <c r="C861" s="114" t="s">
        <v>246</v>
      </c>
      <c r="D861" s="113" t="s">
        <v>290</v>
      </c>
      <c r="E861" s="115" t="s">
        <v>157</v>
      </c>
      <c r="F861" s="115" t="s">
        <v>2279</v>
      </c>
      <c r="G861" s="115"/>
      <c r="H861" s="113" t="s">
        <v>243</v>
      </c>
      <c r="I861" s="113">
        <v>100</v>
      </c>
      <c r="J861" s="113">
        <v>751000000</v>
      </c>
      <c r="K861" s="116" t="s">
        <v>2290</v>
      </c>
      <c r="L861" s="116" t="s">
        <v>1503</v>
      </c>
      <c r="M861" s="116" t="s">
        <v>2290</v>
      </c>
      <c r="N861" s="113"/>
      <c r="O861" s="116" t="s">
        <v>2176</v>
      </c>
      <c r="P861" s="116" t="s">
        <v>1469</v>
      </c>
      <c r="Q861" s="113"/>
      <c r="R861" s="113"/>
      <c r="S861" s="117"/>
      <c r="T861" s="113"/>
      <c r="U861" s="117">
        <f t="shared" ref="U861:U864" si="60">V861/112*100</f>
        <v>714285.71428571432</v>
      </c>
      <c r="V861" s="117">
        <f>'[6]Приложение 1'!$V$747</f>
        <v>800000</v>
      </c>
      <c r="W861" s="113"/>
      <c r="X861" s="113">
        <v>2012</v>
      </c>
      <c r="Y861" s="113"/>
    </row>
    <row r="862" spans="2:25" s="118" customFormat="1" ht="102">
      <c r="B862" s="113" t="s">
        <v>386</v>
      </c>
      <c r="C862" s="114" t="s">
        <v>246</v>
      </c>
      <c r="D862" s="113" t="s">
        <v>1676</v>
      </c>
      <c r="E862" s="115" t="s">
        <v>211</v>
      </c>
      <c r="F862" s="115" t="s">
        <v>2280</v>
      </c>
      <c r="G862" s="115"/>
      <c r="H862" s="113" t="s">
        <v>243</v>
      </c>
      <c r="I862" s="113">
        <v>70</v>
      </c>
      <c r="J862" s="113">
        <v>751000000</v>
      </c>
      <c r="K862" s="116" t="s">
        <v>2290</v>
      </c>
      <c r="L862" s="113" t="s">
        <v>1503</v>
      </c>
      <c r="M862" s="116" t="s">
        <v>2290</v>
      </c>
      <c r="N862" s="113"/>
      <c r="O862" s="116" t="s">
        <v>2176</v>
      </c>
      <c r="P862" s="116" t="s">
        <v>1469</v>
      </c>
      <c r="Q862" s="113"/>
      <c r="R862" s="113"/>
      <c r="S862" s="117"/>
      <c r="T862" s="113"/>
      <c r="U862" s="117">
        <f t="shared" si="60"/>
        <v>803571.42857142852</v>
      </c>
      <c r="V862" s="117">
        <f>'[6]Приложение 1'!$V$748</f>
        <v>900000</v>
      </c>
      <c r="W862" s="113"/>
      <c r="X862" s="113">
        <v>2012</v>
      </c>
      <c r="Y862" s="113"/>
    </row>
    <row r="863" spans="2:25" s="118" customFormat="1" ht="102">
      <c r="B863" s="113" t="s">
        <v>1663</v>
      </c>
      <c r="C863" s="114" t="s">
        <v>246</v>
      </c>
      <c r="D863" s="113" t="s">
        <v>321</v>
      </c>
      <c r="E863" s="115" t="s">
        <v>212</v>
      </c>
      <c r="F863" s="115" t="s">
        <v>1460</v>
      </c>
      <c r="G863" s="115"/>
      <c r="H863" s="113" t="s">
        <v>243</v>
      </c>
      <c r="I863" s="113">
        <v>70</v>
      </c>
      <c r="J863" s="113">
        <v>751000000</v>
      </c>
      <c r="K863" s="116" t="s">
        <v>2290</v>
      </c>
      <c r="L863" s="113" t="s">
        <v>1503</v>
      </c>
      <c r="M863" s="116" t="s">
        <v>2290</v>
      </c>
      <c r="N863" s="113"/>
      <c r="O863" s="116" t="s">
        <v>2176</v>
      </c>
      <c r="P863" s="116" t="s">
        <v>1469</v>
      </c>
      <c r="Q863" s="113"/>
      <c r="R863" s="113"/>
      <c r="S863" s="117"/>
      <c r="T863" s="113"/>
      <c r="U863" s="117">
        <f t="shared" si="60"/>
        <v>1089285.7142857143</v>
      </c>
      <c r="V863" s="117">
        <v>1220000</v>
      </c>
      <c r="W863" s="113"/>
      <c r="X863" s="113">
        <v>2012</v>
      </c>
      <c r="Y863" s="113"/>
    </row>
    <row r="864" spans="2:25" s="118" customFormat="1" ht="51">
      <c r="B864" s="113" t="s">
        <v>1664</v>
      </c>
      <c r="C864" s="114" t="s">
        <v>246</v>
      </c>
      <c r="D864" s="113" t="s">
        <v>290</v>
      </c>
      <c r="E864" s="115" t="s">
        <v>213</v>
      </c>
      <c r="F864" s="115" t="s">
        <v>1459</v>
      </c>
      <c r="G864" s="115"/>
      <c r="H864" s="113" t="s">
        <v>243</v>
      </c>
      <c r="I864" s="113">
        <v>100</v>
      </c>
      <c r="J864" s="113">
        <v>751000000</v>
      </c>
      <c r="K864" s="116" t="s">
        <v>2290</v>
      </c>
      <c r="L864" s="116" t="s">
        <v>2283</v>
      </c>
      <c r="M864" s="116" t="s">
        <v>2290</v>
      </c>
      <c r="N864" s="113"/>
      <c r="O864" s="116" t="s">
        <v>2283</v>
      </c>
      <c r="P864" s="116" t="s">
        <v>1547</v>
      </c>
      <c r="Q864" s="113"/>
      <c r="R864" s="113"/>
      <c r="S864" s="117"/>
      <c r="T864" s="113"/>
      <c r="U864" s="117">
        <f t="shared" si="60"/>
        <v>50000</v>
      </c>
      <c r="V864" s="117">
        <v>56000</v>
      </c>
      <c r="W864" s="113"/>
      <c r="X864" s="113">
        <v>2012</v>
      </c>
      <c r="Y864" s="113"/>
    </row>
    <row r="865" spans="2:25" s="55" customFormat="1" ht="102">
      <c r="B865" s="52" t="s">
        <v>1665</v>
      </c>
      <c r="C865" s="78" t="s">
        <v>246</v>
      </c>
      <c r="D865" s="52" t="s">
        <v>321</v>
      </c>
      <c r="E865" s="56" t="s">
        <v>211</v>
      </c>
      <c r="F865" s="56" t="s">
        <v>1460</v>
      </c>
      <c r="G865" s="56"/>
      <c r="H865" s="52" t="s">
        <v>243</v>
      </c>
      <c r="I865" s="52">
        <v>100</v>
      </c>
      <c r="J865" s="52">
        <v>110000000</v>
      </c>
      <c r="K865" s="56" t="s">
        <v>125</v>
      </c>
      <c r="L865" s="52" t="s">
        <v>1503</v>
      </c>
      <c r="M865" s="56" t="s">
        <v>125</v>
      </c>
      <c r="N865" s="52"/>
      <c r="O865" s="53" t="s">
        <v>1975</v>
      </c>
      <c r="P865" s="53" t="s">
        <v>1469</v>
      </c>
      <c r="Q865" s="52"/>
      <c r="R865" s="52"/>
      <c r="S865" s="54"/>
      <c r="T865" s="52"/>
      <c r="U865" s="54">
        <f t="shared" si="57"/>
        <v>191964.28571428571</v>
      </c>
      <c r="V865" s="54">
        <f>'[2]ремонт авто'!$B$33</f>
        <v>215000</v>
      </c>
      <c r="W865" s="52"/>
      <c r="X865" s="52">
        <v>2012</v>
      </c>
      <c r="Y865" s="52"/>
    </row>
    <row r="866" spans="2:25" s="55" customFormat="1" ht="102">
      <c r="B866" s="52" t="s">
        <v>387</v>
      </c>
      <c r="C866" s="78" t="s">
        <v>246</v>
      </c>
      <c r="D866" s="52" t="s">
        <v>290</v>
      </c>
      <c r="E866" s="56" t="s">
        <v>157</v>
      </c>
      <c r="F866" s="56" t="s">
        <v>1458</v>
      </c>
      <c r="G866" s="56"/>
      <c r="H866" s="52" t="s">
        <v>243</v>
      </c>
      <c r="I866" s="52">
        <v>100</v>
      </c>
      <c r="J866" s="52">
        <v>110000000</v>
      </c>
      <c r="K866" s="56" t="s">
        <v>125</v>
      </c>
      <c r="L866" s="52" t="s">
        <v>1503</v>
      </c>
      <c r="M866" s="56" t="s">
        <v>125</v>
      </c>
      <c r="N866" s="52"/>
      <c r="O866" s="53" t="s">
        <v>1975</v>
      </c>
      <c r="P866" s="53" t="s">
        <v>1469</v>
      </c>
      <c r="Q866" s="52"/>
      <c r="R866" s="52"/>
      <c r="S866" s="54"/>
      <c r="T866" s="52"/>
      <c r="U866" s="54">
        <f t="shared" si="57"/>
        <v>235714.28571428574</v>
      </c>
      <c r="V866" s="54">
        <f>'[2]ремонт авто'!$C$33</f>
        <v>264000</v>
      </c>
      <c r="W866" s="52"/>
      <c r="X866" s="52">
        <v>2012</v>
      </c>
      <c r="Y866" s="52"/>
    </row>
    <row r="867" spans="2:25" s="55" customFormat="1" ht="102">
      <c r="B867" s="52" t="s">
        <v>388</v>
      </c>
      <c r="C867" s="78" t="s">
        <v>246</v>
      </c>
      <c r="D867" s="52" t="s">
        <v>290</v>
      </c>
      <c r="E867" s="56" t="s">
        <v>158</v>
      </c>
      <c r="F867" s="53" t="s">
        <v>2300</v>
      </c>
      <c r="G867" s="53"/>
      <c r="H867" s="52" t="s">
        <v>243</v>
      </c>
      <c r="I867" s="52">
        <v>100</v>
      </c>
      <c r="J867" s="52">
        <v>110000000</v>
      </c>
      <c r="K867" s="56" t="s">
        <v>125</v>
      </c>
      <c r="L867" s="52" t="s">
        <v>1503</v>
      </c>
      <c r="M867" s="56" t="s">
        <v>125</v>
      </c>
      <c r="N867" s="52"/>
      <c r="O867" s="53" t="s">
        <v>1975</v>
      </c>
      <c r="P867" s="53" t="s">
        <v>1469</v>
      </c>
      <c r="Q867" s="52"/>
      <c r="R867" s="52"/>
      <c r="S867" s="54"/>
      <c r="T867" s="52"/>
      <c r="U867" s="54">
        <f t="shared" si="57"/>
        <v>179464.28571428565</v>
      </c>
      <c r="V867" s="54">
        <f>'[2]ремонт авто'!$D$33</f>
        <v>200999.99999999994</v>
      </c>
      <c r="W867" s="52"/>
      <c r="X867" s="52">
        <v>2012</v>
      </c>
      <c r="Y867" s="52"/>
    </row>
    <row r="868" spans="2:25" s="55" customFormat="1" ht="51">
      <c r="B868" s="52" t="s">
        <v>389</v>
      </c>
      <c r="C868" s="78" t="s">
        <v>246</v>
      </c>
      <c r="D868" s="52" t="s">
        <v>323</v>
      </c>
      <c r="E868" s="56" t="s">
        <v>213</v>
      </c>
      <c r="F868" s="56" t="s">
        <v>1459</v>
      </c>
      <c r="G868" s="56"/>
      <c r="H868" s="52" t="s">
        <v>243</v>
      </c>
      <c r="I868" s="52">
        <v>100</v>
      </c>
      <c r="J868" s="52">
        <v>110000000</v>
      </c>
      <c r="K868" s="56" t="s">
        <v>125</v>
      </c>
      <c r="L868" s="52" t="s">
        <v>1503</v>
      </c>
      <c r="M868" s="56" t="s">
        <v>125</v>
      </c>
      <c r="N868" s="52"/>
      <c r="O868" s="52" t="s">
        <v>1503</v>
      </c>
      <c r="P868" s="53" t="s">
        <v>1547</v>
      </c>
      <c r="Q868" s="52"/>
      <c r="R868" s="52"/>
      <c r="S868" s="54"/>
      <c r="T868" s="52"/>
      <c r="U868" s="54">
        <f t="shared" si="57"/>
        <v>5732.1428571428569</v>
      </c>
      <c r="V868" s="54">
        <f>'[2]ремонт авто'!$E$33</f>
        <v>6420</v>
      </c>
      <c r="W868" s="52"/>
      <c r="X868" s="52">
        <v>2012</v>
      </c>
      <c r="Y868" s="52"/>
    </row>
    <row r="869" spans="2:25" s="55" customFormat="1" ht="102">
      <c r="B869" s="52" t="s">
        <v>390</v>
      </c>
      <c r="C869" s="78" t="s">
        <v>246</v>
      </c>
      <c r="D869" s="52" t="s">
        <v>321</v>
      </c>
      <c r="E869" s="56" t="s">
        <v>211</v>
      </c>
      <c r="F869" s="56" t="s">
        <v>1460</v>
      </c>
      <c r="G869" s="56"/>
      <c r="H869" s="52" t="s">
        <v>243</v>
      </c>
      <c r="I869" s="52">
        <v>100</v>
      </c>
      <c r="J869" s="52">
        <v>150000000</v>
      </c>
      <c r="K869" s="56" t="s">
        <v>126</v>
      </c>
      <c r="L869" s="52" t="s">
        <v>1503</v>
      </c>
      <c r="M869" s="56" t="s">
        <v>126</v>
      </c>
      <c r="N869" s="52"/>
      <c r="O869" s="53" t="s">
        <v>1975</v>
      </c>
      <c r="P869" s="53" t="s">
        <v>1469</v>
      </c>
      <c r="Q869" s="52"/>
      <c r="R869" s="52"/>
      <c r="S869" s="54"/>
      <c r="T869" s="52"/>
      <c r="U869" s="54">
        <f t="shared" si="57"/>
        <v>195000</v>
      </c>
      <c r="V869" s="54">
        <v>218400</v>
      </c>
      <c r="W869" s="52"/>
      <c r="X869" s="52">
        <v>2012</v>
      </c>
      <c r="Y869" s="52"/>
    </row>
    <row r="870" spans="2:25" s="55" customFormat="1" ht="102">
      <c r="B870" s="52" t="s">
        <v>391</v>
      </c>
      <c r="C870" s="78" t="s">
        <v>246</v>
      </c>
      <c r="D870" s="52" t="s">
        <v>290</v>
      </c>
      <c r="E870" s="56" t="s">
        <v>157</v>
      </c>
      <c r="F870" s="56" t="s">
        <v>1458</v>
      </c>
      <c r="G870" s="56"/>
      <c r="H870" s="52" t="s">
        <v>243</v>
      </c>
      <c r="I870" s="52">
        <v>100</v>
      </c>
      <c r="J870" s="52">
        <v>150000000</v>
      </c>
      <c r="K870" s="56" t="s">
        <v>126</v>
      </c>
      <c r="L870" s="52" t="s">
        <v>1503</v>
      </c>
      <c r="M870" s="56" t="s">
        <v>126</v>
      </c>
      <c r="N870" s="52"/>
      <c r="O870" s="53" t="s">
        <v>1975</v>
      </c>
      <c r="P870" s="53" t="s">
        <v>1469</v>
      </c>
      <c r="Q870" s="52"/>
      <c r="R870" s="52"/>
      <c r="S870" s="54"/>
      <c r="T870" s="52"/>
      <c r="U870" s="54">
        <f t="shared" si="57"/>
        <v>171428.57142857142</v>
      </c>
      <c r="V870" s="54">
        <v>192000</v>
      </c>
      <c r="W870" s="52"/>
      <c r="X870" s="52">
        <v>2012</v>
      </c>
      <c r="Y870" s="52"/>
    </row>
    <row r="871" spans="2:25" s="55" customFormat="1" ht="102">
      <c r="B871" s="52" t="s">
        <v>392</v>
      </c>
      <c r="C871" s="78" t="s">
        <v>246</v>
      </c>
      <c r="D871" s="52" t="s">
        <v>323</v>
      </c>
      <c r="E871" s="56" t="s">
        <v>158</v>
      </c>
      <c r="F871" s="53" t="s">
        <v>1461</v>
      </c>
      <c r="G871" s="53"/>
      <c r="H871" s="52" t="s">
        <v>243</v>
      </c>
      <c r="I871" s="52">
        <v>100</v>
      </c>
      <c r="J871" s="52">
        <v>150000000</v>
      </c>
      <c r="K871" s="56" t="s">
        <v>126</v>
      </c>
      <c r="L871" s="52" t="s">
        <v>1503</v>
      </c>
      <c r="M871" s="56" t="s">
        <v>126</v>
      </c>
      <c r="N871" s="52"/>
      <c r="O871" s="53" t="s">
        <v>1975</v>
      </c>
      <c r="P871" s="53" t="s">
        <v>1469</v>
      </c>
      <c r="Q871" s="52"/>
      <c r="R871" s="52"/>
      <c r="S871" s="54"/>
      <c r="T871" s="52"/>
      <c r="U871" s="54">
        <f t="shared" si="57"/>
        <v>160714.28571428571</v>
      </c>
      <c r="V871" s="54">
        <v>180000</v>
      </c>
      <c r="W871" s="52"/>
      <c r="X871" s="52">
        <v>2012</v>
      </c>
      <c r="Y871" s="52"/>
    </row>
    <row r="872" spans="2:25" s="55" customFormat="1" ht="51">
      <c r="B872" s="52" t="s">
        <v>393</v>
      </c>
      <c r="C872" s="78" t="s">
        <v>246</v>
      </c>
      <c r="D872" s="52" t="s">
        <v>324</v>
      </c>
      <c r="E872" s="56" t="s">
        <v>213</v>
      </c>
      <c r="F872" s="56" t="s">
        <v>1459</v>
      </c>
      <c r="G872" s="56"/>
      <c r="H872" s="52" t="s">
        <v>243</v>
      </c>
      <c r="I872" s="52">
        <v>100</v>
      </c>
      <c r="J872" s="52">
        <v>150000000</v>
      </c>
      <c r="K872" s="56" t="s">
        <v>126</v>
      </c>
      <c r="L872" s="52" t="s">
        <v>1503</v>
      </c>
      <c r="M872" s="56" t="s">
        <v>126</v>
      </c>
      <c r="N872" s="52"/>
      <c r="O872" s="52" t="s">
        <v>1503</v>
      </c>
      <c r="P872" s="53" t="s">
        <v>1547</v>
      </c>
      <c r="Q872" s="52"/>
      <c r="R872" s="52"/>
      <c r="S872" s="54"/>
      <c r="T872" s="52"/>
      <c r="U872" s="54">
        <f t="shared" si="57"/>
        <v>3571.4285714285716</v>
      </c>
      <c r="V872" s="54">
        <v>4000</v>
      </c>
      <c r="W872" s="52"/>
      <c r="X872" s="52">
        <v>2012</v>
      </c>
      <c r="Y872" s="52"/>
    </row>
    <row r="873" spans="2:25" s="55" customFormat="1" ht="102">
      <c r="B873" s="52" t="s">
        <v>394</v>
      </c>
      <c r="C873" s="78" t="s">
        <v>246</v>
      </c>
      <c r="D873" s="52" t="s">
        <v>321</v>
      </c>
      <c r="E873" s="56" t="s">
        <v>211</v>
      </c>
      <c r="F873" s="56" t="s">
        <v>1460</v>
      </c>
      <c r="G873" s="56"/>
      <c r="H873" s="52" t="s">
        <v>243</v>
      </c>
      <c r="I873" s="52">
        <v>100</v>
      </c>
      <c r="J873" s="52">
        <v>190000000</v>
      </c>
      <c r="K873" s="56" t="s">
        <v>117</v>
      </c>
      <c r="L873" s="52" t="s">
        <v>1503</v>
      </c>
      <c r="M873" s="56" t="s">
        <v>117</v>
      </c>
      <c r="N873" s="52"/>
      <c r="O873" s="53" t="s">
        <v>1975</v>
      </c>
      <c r="P873" s="53" t="s">
        <v>1469</v>
      </c>
      <c r="Q873" s="52"/>
      <c r="R873" s="52"/>
      <c r="S873" s="54"/>
      <c r="T873" s="52"/>
      <c r="U873" s="54">
        <f t="shared" si="57"/>
        <v>267857.14285714284</v>
      </c>
      <c r="V873" s="54">
        <v>300000</v>
      </c>
      <c r="W873" s="52"/>
      <c r="X873" s="52">
        <v>2012</v>
      </c>
      <c r="Y873" s="52"/>
    </row>
    <row r="874" spans="2:25" s="55" customFormat="1" ht="102">
      <c r="B874" s="52" t="s">
        <v>395</v>
      </c>
      <c r="C874" s="78" t="s">
        <v>246</v>
      </c>
      <c r="D874" s="52" t="s">
        <v>290</v>
      </c>
      <c r="E874" s="56" t="s">
        <v>157</v>
      </c>
      <c r="F874" s="56" t="s">
        <v>1458</v>
      </c>
      <c r="G874" s="56"/>
      <c r="H874" s="52" t="s">
        <v>243</v>
      </c>
      <c r="I874" s="52">
        <v>100</v>
      </c>
      <c r="J874" s="52">
        <v>190000000</v>
      </c>
      <c r="K874" s="56" t="s">
        <v>117</v>
      </c>
      <c r="L874" s="52" t="s">
        <v>1503</v>
      </c>
      <c r="M874" s="56" t="s">
        <v>117</v>
      </c>
      <c r="N874" s="52"/>
      <c r="O874" s="53" t="s">
        <v>1975</v>
      </c>
      <c r="P874" s="53" t="s">
        <v>1469</v>
      </c>
      <c r="Q874" s="52"/>
      <c r="R874" s="52"/>
      <c r="S874" s="54"/>
      <c r="T874" s="52"/>
      <c r="U874" s="54">
        <f t="shared" si="57"/>
        <v>128571.42857142858</v>
      </c>
      <c r="V874" s="54">
        <v>144000</v>
      </c>
      <c r="W874" s="52"/>
      <c r="X874" s="52">
        <v>2012</v>
      </c>
      <c r="Y874" s="52"/>
    </row>
    <row r="875" spans="2:25" s="55" customFormat="1" ht="102">
      <c r="B875" s="52" t="s">
        <v>396</v>
      </c>
      <c r="C875" s="78" t="s">
        <v>246</v>
      </c>
      <c r="D875" s="52" t="s">
        <v>323</v>
      </c>
      <c r="E875" s="56" t="s">
        <v>158</v>
      </c>
      <c r="F875" s="53" t="s">
        <v>1461</v>
      </c>
      <c r="G875" s="53"/>
      <c r="H875" s="52" t="s">
        <v>243</v>
      </c>
      <c r="I875" s="52">
        <v>100</v>
      </c>
      <c r="J875" s="52">
        <v>190000000</v>
      </c>
      <c r="K875" s="56" t="s">
        <v>117</v>
      </c>
      <c r="L875" s="52" t="s">
        <v>1503</v>
      </c>
      <c r="M875" s="56" t="s">
        <v>117</v>
      </c>
      <c r="N875" s="52"/>
      <c r="O875" s="53" t="s">
        <v>1975</v>
      </c>
      <c r="P875" s="53" t="s">
        <v>1469</v>
      </c>
      <c r="Q875" s="52"/>
      <c r="R875" s="52"/>
      <c r="S875" s="54"/>
      <c r="T875" s="52"/>
      <c r="U875" s="54">
        <f t="shared" si="57"/>
        <v>0</v>
      </c>
      <c r="V875" s="54">
        <v>0</v>
      </c>
      <c r="W875" s="52"/>
      <c r="X875" s="52">
        <v>2012</v>
      </c>
      <c r="Y875" s="52">
        <v>21</v>
      </c>
    </row>
    <row r="876" spans="2:25" s="55" customFormat="1" ht="102">
      <c r="B876" s="52" t="s">
        <v>2830</v>
      </c>
      <c r="C876" s="78" t="s">
        <v>246</v>
      </c>
      <c r="D876" s="52" t="s">
        <v>323</v>
      </c>
      <c r="E876" s="56" t="s">
        <v>158</v>
      </c>
      <c r="F876" s="53" t="s">
        <v>1461</v>
      </c>
      <c r="G876" s="53"/>
      <c r="H876" s="52" t="s">
        <v>243</v>
      </c>
      <c r="I876" s="52">
        <v>100</v>
      </c>
      <c r="J876" s="52">
        <v>190000000</v>
      </c>
      <c r="K876" s="56" t="s">
        <v>117</v>
      </c>
      <c r="L876" s="52" t="s">
        <v>1503</v>
      </c>
      <c r="M876" s="56" t="s">
        <v>117</v>
      </c>
      <c r="N876" s="52"/>
      <c r="O876" s="53" t="s">
        <v>1975</v>
      </c>
      <c r="P876" s="53" t="s">
        <v>1469</v>
      </c>
      <c r="Q876" s="52"/>
      <c r="R876" s="52"/>
      <c r="S876" s="54"/>
      <c r="T876" s="52"/>
      <c r="U876" s="54">
        <f t="shared" si="57"/>
        <v>173285.71428571429</v>
      </c>
      <c r="V876" s="54">
        <f>223200-29120</f>
        <v>194080</v>
      </c>
      <c r="W876" s="52"/>
      <c r="X876" s="52">
        <v>2012</v>
      </c>
      <c r="Y876" s="52"/>
    </row>
    <row r="877" spans="2:25" s="55" customFormat="1" ht="51">
      <c r="B877" s="52" t="s">
        <v>397</v>
      </c>
      <c r="C877" s="78" t="s">
        <v>246</v>
      </c>
      <c r="D877" s="52" t="s">
        <v>324</v>
      </c>
      <c r="E877" s="56" t="s">
        <v>213</v>
      </c>
      <c r="F877" s="56" t="s">
        <v>1459</v>
      </c>
      <c r="G877" s="56"/>
      <c r="H877" s="52" t="s">
        <v>243</v>
      </c>
      <c r="I877" s="52">
        <v>100</v>
      </c>
      <c r="J877" s="52">
        <v>190000000</v>
      </c>
      <c r="K877" s="56" t="s">
        <v>117</v>
      </c>
      <c r="L877" s="52" t="s">
        <v>1503</v>
      </c>
      <c r="M877" s="56" t="s">
        <v>117</v>
      </c>
      <c r="N877" s="52"/>
      <c r="O877" s="52" t="s">
        <v>1503</v>
      </c>
      <c r="P877" s="53" t="s">
        <v>1547</v>
      </c>
      <c r="Q877" s="52"/>
      <c r="R877" s="52"/>
      <c r="S877" s="54"/>
      <c r="T877" s="52"/>
      <c r="U877" s="54">
        <f t="shared" si="57"/>
        <v>5357.1428571428569</v>
      </c>
      <c r="V877" s="54">
        <v>6000</v>
      </c>
      <c r="W877" s="52"/>
      <c r="X877" s="52">
        <v>2012</v>
      </c>
      <c r="Y877" s="52"/>
    </row>
    <row r="878" spans="2:25" s="55" customFormat="1" ht="102">
      <c r="B878" s="52" t="s">
        <v>398</v>
      </c>
      <c r="C878" s="78" t="s">
        <v>246</v>
      </c>
      <c r="D878" s="52" t="s">
        <v>321</v>
      </c>
      <c r="E878" s="56" t="s">
        <v>211</v>
      </c>
      <c r="F878" s="56" t="s">
        <v>1460</v>
      </c>
      <c r="G878" s="56"/>
      <c r="H878" s="52" t="s">
        <v>243</v>
      </c>
      <c r="I878" s="52">
        <v>100</v>
      </c>
      <c r="J878" s="52">
        <v>751000000</v>
      </c>
      <c r="K878" s="63" t="s">
        <v>1437</v>
      </c>
      <c r="L878" s="52" t="s">
        <v>1503</v>
      </c>
      <c r="M878" s="63" t="s">
        <v>1437</v>
      </c>
      <c r="N878" s="52"/>
      <c r="O878" s="53" t="s">
        <v>1975</v>
      </c>
      <c r="P878" s="53" t="s">
        <v>1469</v>
      </c>
      <c r="Q878" s="52"/>
      <c r="R878" s="52"/>
      <c r="S878" s="54"/>
      <c r="T878" s="52"/>
      <c r="U878" s="54">
        <f t="shared" si="57"/>
        <v>267857.14285714284</v>
      </c>
      <c r="V878" s="54">
        <v>300000</v>
      </c>
      <c r="W878" s="52"/>
      <c r="X878" s="52">
        <v>2012</v>
      </c>
      <c r="Y878" s="52"/>
    </row>
    <row r="879" spans="2:25" s="55" customFormat="1" ht="102">
      <c r="B879" s="52" t="s">
        <v>399</v>
      </c>
      <c r="C879" s="78" t="s">
        <v>246</v>
      </c>
      <c r="D879" s="52" t="s">
        <v>290</v>
      </c>
      <c r="E879" s="56" t="s">
        <v>157</v>
      </c>
      <c r="F879" s="56" t="s">
        <v>1458</v>
      </c>
      <c r="G879" s="56"/>
      <c r="H879" s="52" t="s">
        <v>243</v>
      </c>
      <c r="I879" s="52">
        <v>100</v>
      </c>
      <c r="J879" s="52">
        <v>751000000</v>
      </c>
      <c r="K879" s="63" t="s">
        <v>1437</v>
      </c>
      <c r="L879" s="52" t="s">
        <v>1503</v>
      </c>
      <c r="M879" s="63" t="s">
        <v>1437</v>
      </c>
      <c r="N879" s="52"/>
      <c r="O879" s="53" t="s">
        <v>1975</v>
      </c>
      <c r="P879" s="53" t="s">
        <v>1469</v>
      </c>
      <c r="Q879" s="52"/>
      <c r="R879" s="52"/>
      <c r="S879" s="54"/>
      <c r="T879" s="52"/>
      <c r="U879" s="54">
        <f t="shared" si="57"/>
        <v>128571.42857142858</v>
      </c>
      <c r="V879" s="54">
        <v>144000</v>
      </c>
      <c r="W879" s="52"/>
      <c r="X879" s="52">
        <v>2012</v>
      </c>
      <c r="Y879" s="52"/>
    </row>
    <row r="880" spans="2:25" s="55" customFormat="1" ht="51">
      <c r="B880" s="52" t="s">
        <v>400</v>
      </c>
      <c r="C880" s="78" t="s">
        <v>246</v>
      </c>
      <c r="D880" s="52" t="s">
        <v>324</v>
      </c>
      <c r="E880" s="56" t="s">
        <v>213</v>
      </c>
      <c r="F880" s="53" t="s">
        <v>1459</v>
      </c>
      <c r="G880" s="53"/>
      <c r="H880" s="52" t="s">
        <v>243</v>
      </c>
      <c r="I880" s="52">
        <v>100</v>
      </c>
      <c r="J880" s="52">
        <v>751000000</v>
      </c>
      <c r="K880" s="63" t="s">
        <v>1437</v>
      </c>
      <c r="L880" s="52" t="s">
        <v>1503</v>
      </c>
      <c r="M880" s="63" t="s">
        <v>1437</v>
      </c>
      <c r="N880" s="52"/>
      <c r="O880" s="52" t="s">
        <v>1503</v>
      </c>
      <c r="P880" s="53" t="s">
        <v>1547</v>
      </c>
      <c r="Q880" s="52"/>
      <c r="R880" s="52"/>
      <c r="S880" s="54"/>
      <c r="T880" s="52"/>
      <c r="U880" s="54">
        <f t="shared" si="57"/>
        <v>5357.1428571428569</v>
      </c>
      <c r="V880" s="54">
        <v>6000</v>
      </c>
      <c r="W880" s="52"/>
      <c r="X880" s="52">
        <v>2012</v>
      </c>
      <c r="Y880" s="52"/>
    </row>
    <row r="881" spans="2:25" s="55" customFormat="1" ht="102">
      <c r="B881" s="52" t="s">
        <v>401</v>
      </c>
      <c r="C881" s="78" t="s">
        <v>246</v>
      </c>
      <c r="D881" s="52" t="s">
        <v>321</v>
      </c>
      <c r="E881" s="56" t="s">
        <v>211</v>
      </c>
      <c r="F881" s="56" t="s">
        <v>1460</v>
      </c>
      <c r="G881" s="56"/>
      <c r="H881" s="52" t="s">
        <v>243</v>
      </c>
      <c r="I881" s="52">
        <v>100</v>
      </c>
      <c r="J881" s="52">
        <v>711000000</v>
      </c>
      <c r="K881" s="53" t="s">
        <v>1622</v>
      </c>
      <c r="L881" s="52" t="s">
        <v>1503</v>
      </c>
      <c r="M881" s="53" t="s">
        <v>1816</v>
      </c>
      <c r="N881" s="52"/>
      <c r="O881" s="53" t="s">
        <v>1975</v>
      </c>
      <c r="P881" s="53" t="s">
        <v>1469</v>
      </c>
      <c r="Q881" s="52"/>
      <c r="R881" s="52"/>
      <c r="S881" s="54"/>
      <c r="T881" s="52"/>
      <c r="U881" s="54">
        <f t="shared" si="57"/>
        <v>633928.57142857148</v>
      </c>
      <c r="V881" s="54">
        <f>'[6]Приложение 1'!$V$766</f>
        <v>710000</v>
      </c>
      <c r="W881" s="52"/>
      <c r="X881" s="52">
        <v>2012</v>
      </c>
      <c r="Y881" s="52"/>
    </row>
    <row r="882" spans="2:25" s="55" customFormat="1" ht="102">
      <c r="B882" s="52" t="s">
        <v>402</v>
      </c>
      <c r="C882" s="78" t="s">
        <v>246</v>
      </c>
      <c r="D882" s="52" t="s">
        <v>290</v>
      </c>
      <c r="E882" s="56" t="s">
        <v>157</v>
      </c>
      <c r="F882" s="56" t="s">
        <v>1458</v>
      </c>
      <c r="G882" s="56"/>
      <c r="H882" s="52" t="s">
        <v>243</v>
      </c>
      <c r="I882" s="52">
        <v>100</v>
      </c>
      <c r="J882" s="52">
        <v>711000000</v>
      </c>
      <c r="K882" s="53" t="s">
        <v>1622</v>
      </c>
      <c r="L882" s="52" t="s">
        <v>1503</v>
      </c>
      <c r="M882" s="53" t="s">
        <v>1816</v>
      </c>
      <c r="N882" s="52"/>
      <c r="O882" s="53" t="s">
        <v>1975</v>
      </c>
      <c r="P882" s="53" t="s">
        <v>1469</v>
      </c>
      <c r="Q882" s="52"/>
      <c r="R882" s="52"/>
      <c r="S882" s="54"/>
      <c r="T882" s="52"/>
      <c r="U882" s="54">
        <f t="shared" si="57"/>
        <v>270714.28571428574</v>
      </c>
      <c r="V882" s="54">
        <f>'[6]Приложение 1'!$V$767</f>
        <v>303200</v>
      </c>
      <c r="W882" s="52"/>
      <c r="X882" s="52">
        <v>2012</v>
      </c>
      <c r="Y882" s="52"/>
    </row>
    <row r="883" spans="2:25" s="55" customFormat="1" ht="102">
      <c r="B883" s="52" t="s">
        <v>403</v>
      </c>
      <c r="C883" s="78" t="s">
        <v>246</v>
      </c>
      <c r="D883" s="52" t="s">
        <v>323</v>
      </c>
      <c r="E883" s="56" t="s">
        <v>158</v>
      </c>
      <c r="F883" s="53" t="s">
        <v>1461</v>
      </c>
      <c r="G883" s="53"/>
      <c r="H883" s="52" t="s">
        <v>243</v>
      </c>
      <c r="I883" s="52">
        <v>100</v>
      </c>
      <c r="J883" s="52">
        <v>711000000</v>
      </c>
      <c r="K883" s="53" t="s">
        <v>1622</v>
      </c>
      <c r="L883" s="52" t="s">
        <v>1503</v>
      </c>
      <c r="M883" s="53" t="s">
        <v>1816</v>
      </c>
      <c r="N883" s="52"/>
      <c r="O883" s="53" t="s">
        <v>1975</v>
      </c>
      <c r="P883" s="53" t="s">
        <v>1469</v>
      </c>
      <c r="Q883" s="52"/>
      <c r="R883" s="52"/>
      <c r="S883" s="54"/>
      <c r="T883" s="52"/>
      <c r="U883" s="54">
        <f t="shared" si="57"/>
        <v>293303.57142857142</v>
      </c>
      <c r="V883" s="54">
        <v>328500</v>
      </c>
      <c r="W883" s="52"/>
      <c r="X883" s="52">
        <v>2012</v>
      </c>
      <c r="Y883" s="52"/>
    </row>
    <row r="884" spans="2:25" s="55" customFormat="1" ht="51">
      <c r="B884" s="52" t="s">
        <v>404</v>
      </c>
      <c r="C884" s="78" t="s">
        <v>246</v>
      </c>
      <c r="D884" s="52" t="s">
        <v>324</v>
      </c>
      <c r="E884" s="56" t="s">
        <v>213</v>
      </c>
      <c r="F884" s="53" t="s">
        <v>1459</v>
      </c>
      <c r="G884" s="53"/>
      <c r="H884" s="52" t="s">
        <v>243</v>
      </c>
      <c r="I884" s="52">
        <v>100</v>
      </c>
      <c r="J884" s="52">
        <v>711000000</v>
      </c>
      <c r="K884" s="53" t="s">
        <v>1622</v>
      </c>
      <c r="L884" s="52" t="s">
        <v>1503</v>
      </c>
      <c r="M884" s="53" t="s">
        <v>1816</v>
      </c>
      <c r="N884" s="52"/>
      <c r="O884" s="52" t="s">
        <v>1503</v>
      </c>
      <c r="P884" s="53" t="s">
        <v>1547</v>
      </c>
      <c r="Q884" s="52"/>
      <c r="R884" s="52"/>
      <c r="S884" s="54"/>
      <c r="T884" s="52"/>
      <c r="U884" s="54">
        <f t="shared" si="57"/>
        <v>10714.285714285714</v>
      </c>
      <c r="V884" s="54">
        <v>12000</v>
      </c>
      <c r="W884" s="52"/>
      <c r="X884" s="52">
        <v>2012</v>
      </c>
      <c r="Y884" s="52"/>
    </row>
    <row r="885" spans="2:25" s="55" customFormat="1" ht="102">
      <c r="B885" s="52" t="s">
        <v>405</v>
      </c>
      <c r="C885" s="78" t="s">
        <v>246</v>
      </c>
      <c r="D885" s="52" t="s">
        <v>321</v>
      </c>
      <c r="E885" s="56" t="s">
        <v>211</v>
      </c>
      <c r="F885" s="56" t="s">
        <v>1460</v>
      </c>
      <c r="G885" s="56"/>
      <c r="H885" s="52" t="s">
        <v>243</v>
      </c>
      <c r="I885" s="52">
        <v>100</v>
      </c>
      <c r="J885" s="52">
        <v>230000000</v>
      </c>
      <c r="K885" s="56" t="s">
        <v>118</v>
      </c>
      <c r="L885" s="52" t="s">
        <v>1503</v>
      </c>
      <c r="M885" s="56" t="s">
        <v>118</v>
      </c>
      <c r="N885" s="52"/>
      <c r="O885" s="53" t="s">
        <v>1975</v>
      </c>
      <c r="P885" s="53" t="s">
        <v>1469</v>
      </c>
      <c r="Q885" s="52"/>
      <c r="R885" s="52"/>
      <c r="S885" s="54"/>
      <c r="T885" s="52"/>
      <c r="U885" s="54">
        <f t="shared" si="57"/>
        <v>267857.14285714284</v>
      </c>
      <c r="V885" s="54">
        <v>300000</v>
      </c>
      <c r="W885" s="52"/>
      <c r="X885" s="52">
        <v>2012</v>
      </c>
      <c r="Y885" s="52"/>
    </row>
    <row r="886" spans="2:25" s="55" customFormat="1" ht="102">
      <c r="B886" s="52" t="s">
        <v>406</v>
      </c>
      <c r="C886" s="78" t="s">
        <v>246</v>
      </c>
      <c r="D886" s="52" t="s">
        <v>290</v>
      </c>
      <c r="E886" s="56" t="s">
        <v>157</v>
      </c>
      <c r="F886" s="56" t="s">
        <v>1458</v>
      </c>
      <c r="G886" s="56"/>
      <c r="H886" s="52" t="s">
        <v>243</v>
      </c>
      <c r="I886" s="52">
        <v>100</v>
      </c>
      <c r="J886" s="52">
        <v>230000000</v>
      </c>
      <c r="K886" s="56" t="s">
        <v>118</v>
      </c>
      <c r="L886" s="52" t="s">
        <v>1503</v>
      </c>
      <c r="M886" s="56" t="s">
        <v>118</v>
      </c>
      <c r="N886" s="52"/>
      <c r="O886" s="53" t="s">
        <v>1975</v>
      </c>
      <c r="P886" s="53" t="s">
        <v>1469</v>
      </c>
      <c r="Q886" s="52"/>
      <c r="R886" s="52"/>
      <c r="S886" s="54"/>
      <c r="T886" s="52"/>
      <c r="U886" s="54">
        <f t="shared" ref="U886:U970" si="61">V886/112*100</f>
        <v>150000</v>
      </c>
      <c r="V886" s="54">
        <v>168000</v>
      </c>
      <c r="W886" s="52"/>
      <c r="X886" s="52">
        <v>2012</v>
      </c>
      <c r="Y886" s="52"/>
    </row>
    <row r="887" spans="2:25" s="55" customFormat="1" ht="51">
      <c r="B887" s="52" t="s">
        <v>407</v>
      </c>
      <c r="C887" s="78" t="s">
        <v>246</v>
      </c>
      <c r="D887" s="52" t="s">
        <v>324</v>
      </c>
      <c r="E887" s="56" t="s">
        <v>213</v>
      </c>
      <c r="F887" s="56" t="s">
        <v>1459</v>
      </c>
      <c r="G887" s="56"/>
      <c r="H887" s="52" t="s">
        <v>243</v>
      </c>
      <c r="I887" s="52">
        <v>100</v>
      </c>
      <c r="J887" s="52">
        <v>230000000</v>
      </c>
      <c r="K887" s="56" t="s">
        <v>118</v>
      </c>
      <c r="L887" s="52" t="s">
        <v>1503</v>
      </c>
      <c r="M887" s="56" t="s">
        <v>118</v>
      </c>
      <c r="N887" s="52"/>
      <c r="O887" s="52" t="s">
        <v>1503</v>
      </c>
      <c r="P887" s="53" t="s">
        <v>1547</v>
      </c>
      <c r="Q887" s="52"/>
      <c r="R887" s="52"/>
      <c r="S887" s="54"/>
      <c r="T887" s="52"/>
      <c r="U887" s="54">
        <f t="shared" si="61"/>
        <v>8928.5714285714294</v>
      </c>
      <c r="V887" s="54">
        <v>10000</v>
      </c>
      <c r="W887" s="52"/>
      <c r="X887" s="52">
        <v>2012</v>
      </c>
      <c r="Y887" s="52"/>
    </row>
    <row r="888" spans="2:25" s="55" customFormat="1" ht="102">
      <c r="B888" s="52" t="s">
        <v>408</v>
      </c>
      <c r="C888" s="78" t="s">
        <v>246</v>
      </c>
      <c r="D888" s="52" t="s">
        <v>321</v>
      </c>
      <c r="E888" s="56" t="s">
        <v>211</v>
      </c>
      <c r="F888" s="56" t="s">
        <v>1460</v>
      </c>
      <c r="G888" s="56"/>
      <c r="H888" s="52" t="s">
        <v>243</v>
      </c>
      <c r="I888" s="52">
        <v>100</v>
      </c>
      <c r="J888" s="52">
        <v>630000000</v>
      </c>
      <c r="K888" s="56" t="s">
        <v>97</v>
      </c>
      <c r="L888" s="52" t="s">
        <v>1503</v>
      </c>
      <c r="M888" s="56" t="s">
        <v>97</v>
      </c>
      <c r="N888" s="52"/>
      <c r="O888" s="53" t="s">
        <v>1975</v>
      </c>
      <c r="P888" s="53" t="s">
        <v>1469</v>
      </c>
      <c r="Q888" s="52"/>
      <c r="R888" s="52"/>
      <c r="S888" s="54"/>
      <c r="T888" s="52"/>
      <c r="U888" s="54">
        <f t="shared" si="61"/>
        <v>178571.42857142858</v>
      </c>
      <c r="V888" s="54">
        <v>200000</v>
      </c>
      <c r="W888" s="52"/>
      <c r="X888" s="52">
        <v>2012</v>
      </c>
      <c r="Y888" s="52"/>
    </row>
    <row r="889" spans="2:25" s="55" customFormat="1" ht="102">
      <c r="B889" s="52" t="s">
        <v>409</v>
      </c>
      <c r="C889" s="78" t="s">
        <v>246</v>
      </c>
      <c r="D889" s="52" t="s">
        <v>290</v>
      </c>
      <c r="E889" s="56" t="s">
        <v>157</v>
      </c>
      <c r="F889" s="56" t="s">
        <v>1458</v>
      </c>
      <c r="G889" s="56"/>
      <c r="H889" s="52" t="s">
        <v>243</v>
      </c>
      <c r="I889" s="52">
        <v>100</v>
      </c>
      <c r="J889" s="52">
        <v>630000000</v>
      </c>
      <c r="K889" s="56" t="s">
        <v>97</v>
      </c>
      <c r="L889" s="52" t="s">
        <v>1503</v>
      </c>
      <c r="M889" s="56" t="s">
        <v>97</v>
      </c>
      <c r="N889" s="52"/>
      <c r="O889" s="53" t="s">
        <v>1975</v>
      </c>
      <c r="P889" s="53" t="s">
        <v>1469</v>
      </c>
      <c r="Q889" s="52"/>
      <c r="R889" s="52"/>
      <c r="S889" s="54"/>
      <c r="T889" s="52"/>
      <c r="U889" s="54">
        <f t="shared" si="61"/>
        <v>107142.85714285713</v>
      </c>
      <c r="V889" s="54">
        <v>120000</v>
      </c>
      <c r="W889" s="52"/>
      <c r="X889" s="52">
        <v>2012</v>
      </c>
      <c r="Y889" s="52"/>
    </row>
    <row r="890" spans="2:25" s="55" customFormat="1" ht="102">
      <c r="B890" s="52" t="s">
        <v>410</v>
      </c>
      <c r="C890" s="78" t="s">
        <v>246</v>
      </c>
      <c r="D890" s="52" t="s">
        <v>323</v>
      </c>
      <c r="E890" s="56" t="s">
        <v>158</v>
      </c>
      <c r="F890" s="53" t="s">
        <v>1461</v>
      </c>
      <c r="G890" s="53"/>
      <c r="H890" s="52" t="s">
        <v>243</v>
      </c>
      <c r="I890" s="52">
        <v>100</v>
      </c>
      <c r="J890" s="52">
        <v>630000000</v>
      </c>
      <c r="K890" s="56" t="s">
        <v>97</v>
      </c>
      <c r="L890" s="52" t="s">
        <v>1503</v>
      </c>
      <c r="M890" s="56" t="s">
        <v>97</v>
      </c>
      <c r="N890" s="52"/>
      <c r="O890" s="53" t="s">
        <v>1975</v>
      </c>
      <c r="P890" s="53" t="s">
        <v>1469</v>
      </c>
      <c r="Q890" s="52"/>
      <c r="R890" s="52"/>
      <c r="S890" s="54"/>
      <c r="T890" s="52"/>
      <c r="U890" s="54">
        <f t="shared" si="61"/>
        <v>130357.14285714287</v>
      </c>
      <c r="V890" s="54">
        <v>146000</v>
      </c>
      <c r="W890" s="52"/>
      <c r="X890" s="52">
        <v>2012</v>
      </c>
      <c r="Y890" s="52"/>
    </row>
    <row r="891" spans="2:25" s="55" customFormat="1" ht="102">
      <c r="B891" s="52" t="s">
        <v>411</v>
      </c>
      <c r="C891" s="78" t="s">
        <v>246</v>
      </c>
      <c r="D891" s="52" t="s">
        <v>321</v>
      </c>
      <c r="E891" s="56" t="s">
        <v>211</v>
      </c>
      <c r="F891" s="56" t="s">
        <v>1460</v>
      </c>
      <c r="G891" s="56"/>
      <c r="H891" s="52" t="s">
        <v>243</v>
      </c>
      <c r="I891" s="52">
        <v>100</v>
      </c>
      <c r="J891" s="52">
        <v>310000000</v>
      </c>
      <c r="K891" s="56" t="s">
        <v>119</v>
      </c>
      <c r="L891" s="52" t="s">
        <v>1503</v>
      </c>
      <c r="M891" s="56" t="s">
        <v>119</v>
      </c>
      <c r="N891" s="52"/>
      <c r="O891" s="53" t="s">
        <v>1975</v>
      </c>
      <c r="P891" s="53" t="s">
        <v>1469</v>
      </c>
      <c r="Q891" s="52"/>
      <c r="R891" s="52"/>
      <c r="S891" s="54"/>
      <c r="T891" s="52"/>
      <c r="U891" s="54">
        <f t="shared" si="61"/>
        <v>187500</v>
      </c>
      <c r="V891" s="54">
        <v>210000</v>
      </c>
      <c r="W891" s="52"/>
      <c r="X891" s="52">
        <v>2012</v>
      </c>
      <c r="Y891" s="52"/>
    </row>
    <row r="892" spans="2:25" s="55" customFormat="1" ht="102">
      <c r="B892" s="52" t="s">
        <v>412</v>
      </c>
      <c r="C892" s="78" t="s">
        <v>246</v>
      </c>
      <c r="D892" s="52" t="s">
        <v>290</v>
      </c>
      <c r="E892" s="56" t="s">
        <v>157</v>
      </c>
      <c r="F892" s="56" t="s">
        <v>1458</v>
      </c>
      <c r="G892" s="56"/>
      <c r="H892" s="52" t="s">
        <v>243</v>
      </c>
      <c r="I892" s="52">
        <v>100</v>
      </c>
      <c r="J892" s="52">
        <v>310000000</v>
      </c>
      <c r="K892" s="56" t="s">
        <v>119</v>
      </c>
      <c r="L892" s="52" t="s">
        <v>1503</v>
      </c>
      <c r="M892" s="56" t="s">
        <v>119</v>
      </c>
      <c r="N892" s="52"/>
      <c r="O892" s="53" t="s">
        <v>1975</v>
      </c>
      <c r="P892" s="53" t="s">
        <v>1469</v>
      </c>
      <c r="Q892" s="52"/>
      <c r="R892" s="52"/>
      <c r="S892" s="54"/>
      <c r="T892" s="52"/>
      <c r="U892" s="54">
        <f t="shared" si="61"/>
        <v>132589.28571428571</v>
      </c>
      <c r="V892" s="54">
        <v>148500</v>
      </c>
      <c r="W892" s="52"/>
      <c r="X892" s="52">
        <v>2012</v>
      </c>
      <c r="Y892" s="52"/>
    </row>
    <row r="893" spans="2:25" s="55" customFormat="1" ht="102">
      <c r="B893" s="52" t="s">
        <v>413</v>
      </c>
      <c r="C893" s="78" t="s">
        <v>246</v>
      </c>
      <c r="D893" s="52" t="s">
        <v>323</v>
      </c>
      <c r="E893" s="56" t="s">
        <v>158</v>
      </c>
      <c r="F893" s="53" t="s">
        <v>1461</v>
      </c>
      <c r="G893" s="53"/>
      <c r="H893" s="52" t="s">
        <v>243</v>
      </c>
      <c r="I893" s="52">
        <v>100</v>
      </c>
      <c r="J893" s="52">
        <v>310000000</v>
      </c>
      <c r="K893" s="56" t="s">
        <v>119</v>
      </c>
      <c r="L893" s="53" t="s">
        <v>2177</v>
      </c>
      <c r="M893" s="56" t="s">
        <v>119</v>
      </c>
      <c r="N893" s="52"/>
      <c r="O893" s="53" t="s">
        <v>1975</v>
      </c>
      <c r="P893" s="53" t="s">
        <v>1469</v>
      </c>
      <c r="Q893" s="52"/>
      <c r="R893" s="52"/>
      <c r="S893" s="54"/>
      <c r="T893" s="52"/>
      <c r="U893" s="54">
        <f t="shared" si="61"/>
        <v>97767.857142857145</v>
      </c>
      <c r="V893" s="54">
        <v>109500</v>
      </c>
      <c r="W893" s="52"/>
      <c r="X893" s="52">
        <v>2012</v>
      </c>
      <c r="Y893" s="52"/>
    </row>
    <row r="894" spans="2:25" s="55" customFormat="1" ht="51">
      <c r="B894" s="52" t="s">
        <v>414</v>
      </c>
      <c r="C894" s="78" t="s">
        <v>246</v>
      </c>
      <c r="D894" s="52" t="s">
        <v>324</v>
      </c>
      <c r="E894" s="56" t="s">
        <v>213</v>
      </c>
      <c r="F894" s="56" t="s">
        <v>1459</v>
      </c>
      <c r="G894" s="56"/>
      <c r="H894" s="52" t="s">
        <v>243</v>
      </c>
      <c r="I894" s="52">
        <v>100</v>
      </c>
      <c r="J894" s="52">
        <v>310000000</v>
      </c>
      <c r="K894" s="56" t="s">
        <v>119</v>
      </c>
      <c r="L894" s="52" t="s">
        <v>1503</v>
      </c>
      <c r="M894" s="56" t="s">
        <v>119</v>
      </c>
      <c r="N894" s="52"/>
      <c r="O894" s="52" t="s">
        <v>1503</v>
      </c>
      <c r="P894" s="53" t="s">
        <v>1547</v>
      </c>
      <c r="Q894" s="52"/>
      <c r="R894" s="52"/>
      <c r="S894" s="54"/>
      <c r="T894" s="52"/>
      <c r="U894" s="54">
        <f t="shared" si="61"/>
        <v>5357.1428571428569</v>
      </c>
      <c r="V894" s="54">
        <v>6000</v>
      </c>
      <c r="W894" s="52"/>
      <c r="X894" s="52">
        <v>2012</v>
      </c>
      <c r="Y894" s="52"/>
    </row>
    <row r="895" spans="2:25" s="55" customFormat="1" ht="102">
      <c r="B895" s="52" t="s">
        <v>415</v>
      </c>
      <c r="C895" s="78" t="s">
        <v>246</v>
      </c>
      <c r="D895" s="52" t="s">
        <v>321</v>
      </c>
      <c r="E895" s="56" t="s">
        <v>211</v>
      </c>
      <c r="F895" s="56" t="s">
        <v>1460</v>
      </c>
      <c r="G895" s="56"/>
      <c r="H895" s="52" t="s">
        <v>243</v>
      </c>
      <c r="I895" s="52">
        <v>100</v>
      </c>
      <c r="J895" s="52">
        <v>270000000</v>
      </c>
      <c r="K895" s="56" t="s">
        <v>98</v>
      </c>
      <c r="L895" s="52" t="s">
        <v>1503</v>
      </c>
      <c r="M895" s="56" t="s">
        <v>98</v>
      </c>
      <c r="N895" s="52"/>
      <c r="O895" s="53" t="s">
        <v>1975</v>
      </c>
      <c r="P895" s="53" t="s">
        <v>1469</v>
      </c>
      <c r="Q895" s="52"/>
      <c r="R895" s="52"/>
      <c r="S895" s="54"/>
      <c r="T895" s="52"/>
      <c r="U895" s="54">
        <f t="shared" si="61"/>
        <v>160714.28571428571</v>
      </c>
      <c r="V895" s="54">
        <v>180000</v>
      </c>
      <c r="W895" s="52"/>
      <c r="X895" s="52">
        <v>2012</v>
      </c>
      <c r="Y895" s="52"/>
    </row>
    <row r="896" spans="2:25" s="55" customFormat="1" ht="102">
      <c r="B896" s="52" t="s">
        <v>416</v>
      </c>
      <c r="C896" s="78" t="s">
        <v>246</v>
      </c>
      <c r="D896" s="52" t="s">
        <v>290</v>
      </c>
      <c r="E896" s="56" t="s">
        <v>157</v>
      </c>
      <c r="F896" s="56" t="s">
        <v>1458</v>
      </c>
      <c r="G896" s="56"/>
      <c r="H896" s="52" t="s">
        <v>243</v>
      </c>
      <c r="I896" s="52">
        <v>100</v>
      </c>
      <c r="J896" s="52">
        <v>270000000</v>
      </c>
      <c r="K896" s="56" t="s">
        <v>98</v>
      </c>
      <c r="L896" s="52" t="s">
        <v>1503</v>
      </c>
      <c r="M896" s="56" t="s">
        <v>98</v>
      </c>
      <c r="N896" s="52"/>
      <c r="O896" s="53" t="s">
        <v>1975</v>
      </c>
      <c r="P896" s="53" t="s">
        <v>1469</v>
      </c>
      <c r="Q896" s="52"/>
      <c r="R896" s="52"/>
      <c r="S896" s="54"/>
      <c r="T896" s="52"/>
      <c r="U896" s="54">
        <f t="shared" si="61"/>
        <v>128571.42857142858</v>
      </c>
      <c r="V896" s="54">
        <v>144000</v>
      </c>
      <c r="W896" s="52"/>
      <c r="X896" s="52">
        <v>2012</v>
      </c>
      <c r="Y896" s="52"/>
    </row>
    <row r="897" spans="2:25" s="55" customFormat="1" ht="102">
      <c r="B897" s="52" t="s">
        <v>417</v>
      </c>
      <c r="C897" s="78" t="s">
        <v>246</v>
      </c>
      <c r="D897" s="52" t="s">
        <v>323</v>
      </c>
      <c r="E897" s="56" t="s">
        <v>158</v>
      </c>
      <c r="F897" s="53" t="s">
        <v>1461</v>
      </c>
      <c r="G897" s="53"/>
      <c r="H897" s="52" t="s">
        <v>243</v>
      </c>
      <c r="I897" s="52">
        <v>100</v>
      </c>
      <c r="J897" s="52">
        <v>270000000</v>
      </c>
      <c r="K897" s="56" t="s">
        <v>98</v>
      </c>
      <c r="L897" s="52" t="s">
        <v>1503</v>
      </c>
      <c r="M897" s="56" t="s">
        <v>98</v>
      </c>
      <c r="N897" s="52"/>
      <c r="O897" s="53" t="s">
        <v>1975</v>
      </c>
      <c r="P897" s="53" t="s">
        <v>1469</v>
      </c>
      <c r="Q897" s="52"/>
      <c r="R897" s="52"/>
      <c r="S897" s="54"/>
      <c r="T897" s="52"/>
      <c r="U897" s="54">
        <f t="shared" si="61"/>
        <v>149464.28571428571</v>
      </c>
      <c r="V897" s="54">
        <v>167400</v>
      </c>
      <c r="W897" s="52"/>
      <c r="X897" s="52">
        <v>2012</v>
      </c>
      <c r="Y897" s="52"/>
    </row>
    <row r="898" spans="2:25" s="55" customFormat="1" ht="51">
      <c r="B898" s="52" t="s">
        <v>418</v>
      </c>
      <c r="C898" s="78" t="s">
        <v>246</v>
      </c>
      <c r="D898" s="52" t="s">
        <v>324</v>
      </c>
      <c r="E898" s="56" t="s">
        <v>213</v>
      </c>
      <c r="F898" s="56" t="s">
        <v>1459</v>
      </c>
      <c r="G898" s="56"/>
      <c r="H898" s="52" t="s">
        <v>243</v>
      </c>
      <c r="I898" s="52">
        <v>100</v>
      </c>
      <c r="J898" s="52">
        <v>270000000</v>
      </c>
      <c r="K898" s="56" t="s">
        <v>98</v>
      </c>
      <c r="L898" s="52" t="s">
        <v>1503</v>
      </c>
      <c r="M898" s="56" t="s">
        <v>98</v>
      </c>
      <c r="N898" s="52"/>
      <c r="O898" s="52" t="s">
        <v>1503</v>
      </c>
      <c r="P898" s="53" t="s">
        <v>1547</v>
      </c>
      <c r="Q898" s="52"/>
      <c r="R898" s="52"/>
      <c r="S898" s="54"/>
      <c r="T898" s="52"/>
      <c r="U898" s="54">
        <f t="shared" si="61"/>
        <v>4464.2857142857147</v>
      </c>
      <c r="V898" s="54">
        <v>5000</v>
      </c>
      <c r="W898" s="52"/>
      <c r="X898" s="52">
        <v>2012</v>
      </c>
      <c r="Y898" s="52"/>
    </row>
    <row r="899" spans="2:25" s="55" customFormat="1" ht="102">
      <c r="B899" s="52" t="s">
        <v>419</v>
      </c>
      <c r="C899" s="78" t="s">
        <v>246</v>
      </c>
      <c r="D899" s="52" t="s">
        <v>321</v>
      </c>
      <c r="E899" s="56" t="s">
        <v>211</v>
      </c>
      <c r="F899" s="56" t="s">
        <v>1460</v>
      </c>
      <c r="G899" s="56"/>
      <c r="H899" s="52" t="s">
        <v>243</v>
      </c>
      <c r="I899" s="52">
        <v>100</v>
      </c>
      <c r="J899" s="52">
        <v>350000000</v>
      </c>
      <c r="K899" s="56" t="s">
        <v>120</v>
      </c>
      <c r="L899" s="52" t="s">
        <v>1503</v>
      </c>
      <c r="M899" s="56" t="s">
        <v>120</v>
      </c>
      <c r="N899" s="52"/>
      <c r="O899" s="53" t="s">
        <v>1975</v>
      </c>
      <c r="P899" s="53" t="s">
        <v>1469</v>
      </c>
      <c r="Q899" s="52"/>
      <c r="R899" s="52"/>
      <c r="S899" s="54"/>
      <c r="T899" s="52"/>
      <c r="U899" s="54">
        <f t="shared" si="61"/>
        <v>267857.14285714284</v>
      </c>
      <c r="V899" s="54">
        <v>300000</v>
      </c>
      <c r="W899" s="52"/>
      <c r="X899" s="52">
        <v>2012</v>
      </c>
      <c r="Y899" s="52"/>
    </row>
    <row r="900" spans="2:25" s="55" customFormat="1" ht="102">
      <c r="B900" s="52" t="s">
        <v>420</v>
      </c>
      <c r="C900" s="78" t="s">
        <v>246</v>
      </c>
      <c r="D900" s="52" t="s">
        <v>290</v>
      </c>
      <c r="E900" s="56" t="s">
        <v>157</v>
      </c>
      <c r="F900" s="56" t="s">
        <v>1458</v>
      </c>
      <c r="G900" s="56"/>
      <c r="H900" s="52" t="s">
        <v>243</v>
      </c>
      <c r="I900" s="52">
        <v>100</v>
      </c>
      <c r="J900" s="52">
        <v>350000000</v>
      </c>
      <c r="K900" s="56" t="s">
        <v>120</v>
      </c>
      <c r="L900" s="52" t="s">
        <v>1503</v>
      </c>
      <c r="M900" s="56" t="s">
        <v>120</v>
      </c>
      <c r="N900" s="52"/>
      <c r="O900" s="53" t="s">
        <v>1975</v>
      </c>
      <c r="P900" s="53" t="s">
        <v>1469</v>
      </c>
      <c r="Q900" s="52"/>
      <c r="R900" s="52"/>
      <c r="S900" s="54"/>
      <c r="T900" s="52"/>
      <c r="U900" s="54">
        <f t="shared" si="61"/>
        <v>178571.42857142858</v>
      </c>
      <c r="V900" s="54">
        <v>200000</v>
      </c>
      <c r="W900" s="52"/>
      <c r="X900" s="52">
        <v>2012</v>
      </c>
      <c r="Y900" s="52"/>
    </row>
    <row r="901" spans="2:25" s="55" customFormat="1" ht="102">
      <c r="B901" s="52" t="s">
        <v>421</v>
      </c>
      <c r="C901" s="78" t="s">
        <v>246</v>
      </c>
      <c r="D901" s="52" t="s">
        <v>323</v>
      </c>
      <c r="E901" s="56" t="s">
        <v>158</v>
      </c>
      <c r="F901" s="53" t="s">
        <v>1461</v>
      </c>
      <c r="G901" s="53"/>
      <c r="H901" s="52" t="s">
        <v>243</v>
      </c>
      <c r="I901" s="52">
        <v>100</v>
      </c>
      <c r="J901" s="52">
        <v>350000000</v>
      </c>
      <c r="K901" s="56" t="s">
        <v>120</v>
      </c>
      <c r="L901" s="52" t="s">
        <v>1503</v>
      </c>
      <c r="M901" s="56" t="s">
        <v>120</v>
      </c>
      <c r="N901" s="52"/>
      <c r="O901" s="53" t="s">
        <v>1975</v>
      </c>
      <c r="P901" s="53" t="s">
        <v>1469</v>
      </c>
      <c r="Q901" s="52"/>
      <c r="R901" s="52"/>
      <c r="S901" s="54"/>
      <c r="T901" s="52"/>
      <c r="U901" s="54">
        <f t="shared" si="61"/>
        <v>178571.42857142858</v>
      </c>
      <c r="V901" s="54">
        <v>200000</v>
      </c>
      <c r="W901" s="52"/>
      <c r="X901" s="52">
        <v>2012</v>
      </c>
      <c r="Y901" s="52"/>
    </row>
    <row r="902" spans="2:25" s="55" customFormat="1" ht="51">
      <c r="B902" s="52" t="s">
        <v>422</v>
      </c>
      <c r="C902" s="78" t="s">
        <v>246</v>
      </c>
      <c r="D902" s="52" t="s">
        <v>324</v>
      </c>
      <c r="E902" s="56" t="s">
        <v>213</v>
      </c>
      <c r="F902" s="56" t="s">
        <v>1459</v>
      </c>
      <c r="G902" s="56"/>
      <c r="H902" s="52" t="s">
        <v>243</v>
      </c>
      <c r="I902" s="52">
        <v>100</v>
      </c>
      <c r="J902" s="52">
        <v>350000000</v>
      </c>
      <c r="K902" s="56" t="s">
        <v>120</v>
      </c>
      <c r="L902" s="52" t="s">
        <v>1503</v>
      </c>
      <c r="M902" s="56" t="s">
        <v>120</v>
      </c>
      <c r="N902" s="52"/>
      <c r="O902" s="52" t="s">
        <v>1503</v>
      </c>
      <c r="P902" s="53" t="s">
        <v>1547</v>
      </c>
      <c r="Q902" s="52"/>
      <c r="R902" s="52"/>
      <c r="S902" s="54"/>
      <c r="T902" s="52"/>
      <c r="U902" s="54">
        <f t="shared" si="61"/>
        <v>8928.5714285714294</v>
      </c>
      <c r="V902" s="54">
        <v>10000</v>
      </c>
      <c r="W902" s="52"/>
      <c r="X902" s="52">
        <v>2012</v>
      </c>
      <c r="Y902" s="52"/>
    </row>
    <row r="903" spans="2:25" s="55" customFormat="1" ht="102">
      <c r="B903" s="52" t="s">
        <v>423</v>
      </c>
      <c r="C903" s="78" t="s">
        <v>246</v>
      </c>
      <c r="D903" s="52" t="s">
        <v>321</v>
      </c>
      <c r="E903" s="56" t="s">
        <v>211</v>
      </c>
      <c r="F903" s="56" t="s">
        <v>1460</v>
      </c>
      <c r="G903" s="56"/>
      <c r="H903" s="52" t="s">
        <v>243</v>
      </c>
      <c r="I903" s="52">
        <v>100</v>
      </c>
      <c r="J903" s="52">
        <v>390000000</v>
      </c>
      <c r="K903" s="56" t="s">
        <v>121</v>
      </c>
      <c r="L903" s="52" t="s">
        <v>1503</v>
      </c>
      <c r="M903" s="56" t="s">
        <v>121</v>
      </c>
      <c r="N903" s="52"/>
      <c r="O903" s="53" t="s">
        <v>1975</v>
      </c>
      <c r="P903" s="53" t="s">
        <v>1469</v>
      </c>
      <c r="Q903" s="52"/>
      <c r="R903" s="52"/>
      <c r="S903" s="54"/>
      <c r="T903" s="52"/>
      <c r="U903" s="54">
        <f t="shared" si="61"/>
        <v>191964.28571428571</v>
      </c>
      <c r="V903" s="54">
        <v>215000</v>
      </c>
      <c r="W903" s="52"/>
      <c r="X903" s="52">
        <v>2012</v>
      </c>
      <c r="Y903" s="52"/>
    </row>
    <row r="904" spans="2:25" s="55" customFormat="1" ht="102">
      <c r="B904" s="52" t="s">
        <v>424</v>
      </c>
      <c r="C904" s="78" t="s">
        <v>246</v>
      </c>
      <c r="D904" s="52" t="s">
        <v>290</v>
      </c>
      <c r="E904" s="56" t="s">
        <v>157</v>
      </c>
      <c r="F904" s="56" t="s">
        <v>1458</v>
      </c>
      <c r="G904" s="56"/>
      <c r="H904" s="52" t="s">
        <v>243</v>
      </c>
      <c r="I904" s="52">
        <v>100</v>
      </c>
      <c r="J904" s="52">
        <v>390000000</v>
      </c>
      <c r="K904" s="56" t="s">
        <v>121</v>
      </c>
      <c r="L904" s="52" t="s">
        <v>1503</v>
      </c>
      <c r="M904" s="56" t="s">
        <v>121</v>
      </c>
      <c r="N904" s="52"/>
      <c r="O904" s="53" t="s">
        <v>1975</v>
      </c>
      <c r="P904" s="53" t="s">
        <v>1469</v>
      </c>
      <c r="Q904" s="52"/>
      <c r="R904" s="52"/>
      <c r="S904" s="54"/>
      <c r="T904" s="52"/>
      <c r="U904" s="54">
        <f t="shared" si="61"/>
        <v>160714.28571428571</v>
      </c>
      <c r="V904" s="54">
        <v>180000</v>
      </c>
      <c r="W904" s="52"/>
      <c r="X904" s="52">
        <v>2012</v>
      </c>
      <c r="Y904" s="52"/>
    </row>
    <row r="905" spans="2:25" s="55" customFormat="1" ht="102">
      <c r="B905" s="52" t="s">
        <v>425</v>
      </c>
      <c r="C905" s="78" t="s">
        <v>246</v>
      </c>
      <c r="D905" s="52" t="s">
        <v>323</v>
      </c>
      <c r="E905" s="56" t="s">
        <v>158</v>
      </c>
      <c r="F905" s="53" t="s">
        <v>1461</v>
      </c>
      <c r="G905" s="53"/>
      <c r="H905" s="52" t="s">
        <v>243</v>
      </c>
      <c r="I905" s="52">
        <v>100</v>
      </c>
      <c r="J905" s="52">
        <v>390000000</v>
      </c>
      <c r="K905" s="56" t="s">
        <v>121</v>
      </c>
      <c r="L905" s="52" t="s">
        <v>1503</v>
      </c>
      <c r="M905" s="56" t="s">
        <v>121</v>
      </c>
      <c r="N905" s="52"/>
      <c r="O905" s="53" t="s">
        <v>1975</v>
      </c>
      <c r="P905" s="53" t="s">
        <v>1469</v>
      </c>
      <c r="Q905" s="52"/>
      <c r="R905" s="52"/>
      <c r="S905" s="54"/>
      <c r="T905" s="52"/>
      <c r="U905" s="54">
        <f t="shared" si="61"/>
        <v>192857.14285714287</v>
      </c>
      <c r="V905" s="54">
        <v>216000</v>
      </c>
      <c r="W905" s="52"/>
      <c r="X905" s="52">
        <v>2012</v>
      </c>
      <c r="Y905" s="52"/>
    </row>
    <row r="906" spans="2:25" s="55" customFormat="1" ht="51">
      <c r="B906" s="52" t="s">
        <v>426</v>
      </c>
      <c r="C906" s="78" t="s">
        <v>246</v>
      </c>
      <c r="D906" s="52" t="s">
        <v>324</v>
      </c>
      <c r="E906" s="56" t="s">
        <v>213</v>
      </c>
      <c r="F906" s="56" t="s">
        <v>1459</v>
      </c>
      <c r="G906" s="56"/>
      <c r="H906" s="52" t="s">
        <v>243</v>
      </c>
      <c r="I906" s="52">
        <v>100</v>
      </c>
      <c r="J906" s="52">
        <v>390000000</v>
      </c>
      <c r="K906" s="56" t="s">
        <v>121</v>
      </c>
      <c r="L906" s="52" t="s">
        <v>1503</v>
      </c>
      <c r="M906" s="56" t="s">
        <v>121</v>
      </c>
      <c r="N906" s="52"/>
      <c r="O906" s="53" t="s">
        <v>1975</v>
      </c>
      <c r="P906" s="53" t="s">
        <v>1547</v>
      </c>
      <c r="Q906" s="52"/>
      <c r="R906" s="52"/>
      <c r="S906" s="54"/>
      <c r="T906" s="52"/>
      <c r="U906" s="54">
        <f t="shared" si="61"/>
        <v>8928.5714285714294</v>
      </c>
      <c r="V906" s="54">
        <v>10000</v>
      </c>
      <c r="W906" s="52"/>
      <c r="X906" s="52">
        <v>2012</v>
      </c>
      <c r="Y906" s="52"/>
    </row>
    <row r="907" spans="2:25" s="55" customFormat="1" ht="102">
      <c r="B907" s="52" t="s">
        <v>427</v>
      </c>
      <c r="C907" s="78" t="s">
        <v>246</v>
      </c>
      <c r="D907" s="52" t="s">
        <v>321</v>
      </c>
      <c r="E907" s="56" t="s">
        <v>211</v>
      </c>
      <c r="F907" s="56" t="s">
        <v>1460</v>
      </c>
      <c r="G907" s="56"/>
      <c r="H907" s="52" t="s">
        <v>243</v>
      </c>
      <c r="I907" s="52">
        <v>100</v>
      </c>
      <c r="J907" s="52">
        <v>430000000</v>
      </c>
      <c r="K907" s="56" t="s">
        <v>122</v>
      </c>
      <c r="L907" s="52" t="s">
        <v>1503</v>
      </c>
      <c r="M907" s="56" t="s">
        <v>122</v>
      </c>
      <c r="N907" s="52"/>
      <c r="O907" s="53" t="s">
        <v>1975</v>
      </c>
      <c r="P907" s="53" t="s">
        <v>1469</v>
      </c>
      <c r="Q907" s="52"/>
      <c r="R907" s="52"/>
      <c r="S907" s="54"/>
      <c r="T907" s="52"/>
      <c r="U907" s="54">
        <f t="shared" si="61"/>
        <v>191964.28571428571</v>
      </c>
      <c r="V907" s="54">
        <v>215000</v>
      </c>
      <c r="W907" s="52"/>
      <c r="X907" s="52">
        <v>2012</v>
      </c>
      <c r="Y907" s="52"/>
    </row>
    <row r="908" spans="2:25" s="55" customFormat="1" ht="102">
      <c r="B908" s="52" t="s">
        <v>428</v>
      </c>
      <c r="C908" s="78" t="s">
        <v>246</v>
      </c>
      <c r="D908" s="52" t="s">
        <v>290</v>
      </c>
      <c r="E908" s="56" t="s">
        <v>157</v>
      </c>
      <c r="F908" s="56" t="s">
        <v>1458</v>
      </c>
      <c r="G908" s="56"/>
      <c r="H908" s="52" t="s">
        <v>243</v>
      </c>
      <c r="I908" s="52">
        <v>100</v>
      </c>
      <c r="J908" s="52">
        <v>430000000</v>
      </c>
      <c r="K908" s="56" t="s">
        <v>122</v>
      </c>
      <c r="L908" s="52" t="s">
        <v>1503</v>
      </c>
      <c r="M908" s="56" t="s">
        <v>122</v>
      </c>
      <c r="N908" s="52"/>
      <c r="O908" s="53" t="s">
        <v>1975</v>
      </c>
      <c r="P908" s="53" t="s">
        <v>1469</v>
      </c>
      <c r="Q908" s="52"/>
      <c r="R908" s="52"/>
      <c r="S908" s="54"/>
      <c r="T908" s="52"/>
      <c r="U908" s="54">
        <f t="shared" si="61"/>
        <v>128571.42857142858</v>
      </c>
      <c r="V908" s="54">
        <v>144000</v>
      </c>
      <c r="W908" s="52"/>
      <c r="X908" s="52">
        <v>2012</v>
      </c>
      <c r="Y908" s="52"/>
    </row>
    <row r="909" spans="2:25" s="55" customFormat="1" ht="102">
      <c r="B909" s="52" t="s">
        <v>429</v>
      </c>
      <c r="C909" s="78" t="s">
        <v>246</v>
      </c>
      <c r="D909" s="52" t="s">
        <v>323</v>
      </c>
      <c r="E909" s="56" t="s">
        <v>158</v>
      </c>
      <c r="F909" s="53" t="s">
        <v>1461</v>
      </c>
      <c r="G909" s="53"/>
      <c r="H909" s="52" t="s">
        <v>243</v>
      </c>
      <c r="I909" s="52">
        <v>100</v>
      </c>
      <c r="J909" s="52">
        <v>430000000</v>
      </c>
      <c r="K909" s="56" t="s">
        <v>122</v>
      </c>
      <c r="L909" s="52" t="s">
        <v>1503</v>
      </c>
      <c r="M909" s="56" t="s">
        <v>122</v>
      </c>
      <c r="N909" s="52"/>
      <c r="O909" s="53" t="s">
        <v>1975</v>
      </c>
      <c r="P909" s="53" t="s">
        <v>1469</v>
      </c>
      <c r="Q909" s="52"/>
      <c r="R909" s="52"/>
      <c r="S909" s="54"/>
      <c r="T909" s="52"/>
      <c r="U909" s="54">
        <f t="shared" si="61"/>
        <v>128571.42857142858</v>
      </c>
      <c r="V909" s="54">
        <v>144000</v>
      </c>
      <c r="W909" s="52"/>
      <c r="X909" s="52">
        <v>2012</v>
      </c>
      <c r="Y909" s="52"/>
    </row>
    <row r="910" spans="2:25" s="55" customFormat="1" ht="102">
      <c r="B910" s="52" t="s">
        <v>430</v>
      </c>
      <c r="C910" s="78" t="s">
        <v>246</v>
      </c>
      <c r="D910" s="52" t="s">
        <v>321</v>
      </c>
      <c r="E910" s="56" t="s">
        <v>211</v>
      </c>
      <c r="F910" s="56" t="s">
        <v>1460</v>
      </c>
      <c r="G910" s="56"/>
      <c r="H910" s="52" t="s">
        <v>243</v>
      </c>
      <c r="I910" s="52">
        <v>100</v>
      </c>
      <c r="J910" s="52">
        <v>470000000</v>
      </c>
      <c r="K910" s="56" t="s">
        <v>123</v>
      </c>
      <c r="L910" s="52" t="s">
        <v>1503</v>
      </c>
      <c r="M910" s="56" t="s">
        <v>123</v>
      </c>
      <c r="N910" s="52"/>
      <c r="O910" s="53" t="s">
        <v>1975</v>
      </c>
      <c r="P910" s="53" t="s">
        <v>1469</v>
      </c>
      <c r="Q910" s="52"/>
      <c r="R910" s="52"/>
      <c r="S910" s="54"/>
      <c r="T910" s="52"/>
      <c r="U910" s="54">
        <f t="shared" si="61"/>
        <v>267857.14285714284</v>
      </c>
      <c r="V910" s="54">
        <v>300000</v>
      </c>
      <c r="W910" s="52"/>
      <c r="X910" s="52">
        <v>2012</v>
      </c>
      <c r="Y910" s="52"/>
    </row>
    <row r="911" spans="2:25" s="55" customFormat="1" ht="102">
      <c r="B911" s="52" t="s">
        <v>431</v>
      </c>
      <c r="C911" s="78" t="s">
        <v>246</v>
      </c>
      <c r="D911" s="52" t="s">
        <v>290</v>
      </c>
      <c r="E911" s="56" t="s">
        <v>157</v>
      </c>
      <c r="F911" s="56" t="s">
        <v>1458</v>
      </c>
      <c r="G911" s="56"/>
      <c r="H911" s="52" t="s">
        <v>243</v>
      </c>
      <c r="I911" s="52">
        <v>100</v>
      </c>
      <c r="J911" s="52">
        <v>470000000</v>
      </c>
      <c r="K911" s="56" t="s">
        <v>123</v>
      </c>
      <c r="L911" s="52" t="s">
        <v>1503</v>
      </c>
      <c r="M911" s="56" t="s">
        <v>123</v>
      </c>
      <c r="N911" s="52"/>
      <c r="O911" s="53" t="s">
        <v>1975</v>
      </c>
      <c r="P911" s="53" t="s">
        <v>1469</v>
      </c>
      <c r="Q911" s="52"/>
      <c r="R911" s="52"/>
      <c r="S911" s="54"/>
      <c r="T911" s="52"/>
      <c r="U911" s="54">
        <f t="shared" si="61"/>
        <v>128571.42857142858</v>
      </c>
      <c r="V911" s="54">
        <v>144000</v>
      </c>
      <c r="W911" s="52"/>
      <c r="X911" s="52">
        <v>2012</v>
      </c>
      <c r="Y911" s="52"/>
    </row>
    <row r="912" spans="2:25" s="55" customFormat="1" ht="102">
      <c r="B912" s="52" t="s">
        <v>432</v>
      </c>
      <c r="C912" s="78" t="s">
        <v>246</v>
      </c>
      <c r="D912" s="52" t="s">
        <v>323</v>
      </c>
      <c r="E912" s="56" t="s">
        <v>158</v>
      </c>
      <c r="F912" s="53" t="s">
        <v>1461</v>
      </c>
      <c r="G912" s="53"/>
      <c r="H912" s="52" t="s">
        <v>243</v>
      </c>
      <c r="I912" s="52">
        <v>100</v>
      </c>
      <c r="J912" s="52">
        <v>470000000</v>
      </c>
      <c r="K912" s="56" t="s">
        <v>123</v>
      </c>
      <c r="L912" s="52" t="s">
        <v>1503</v>
      </c>
      <c r="M912" s="56" t="s">
        <v>123</v>
      </c>
      <c r="N912" s="52"/>
      <c r="O912" s="53" t="s">
        <v>1975</v>
      </c>
      <c r="P912" s="53" t="s">
        <v>1469</v>
      </c>
      <c r="Q912" s="52"/>
      <c r="R912" s="52"/>
      <c r="S912" s="54"/>
      <c r="T912" s="52"/>
      <c r="U912" s="54">
        <f t="shared" si="61"/>
        <v>65178.571428571435</v>
      </c>
      <c r="V912" s="54">
        <v>73000</v>
      </c>
      <c r="W912" s="52"/>
      <c r="X912" s="52">
        <v>2012</v>
      </c>
      <c r="Y912" s="52"/>
    </row>
    <row r="913" spans="2:25" s="55" customFormat="1" ht="51">
      <c r="B913" s="52" t="s">
        <v>433</v>
      </c>
      <c r="C913" s="78" t="s">
        <v>246</v>
      </c>
      <c r="D913" s="52" t="s">
        <v>324</v>
      </c>
      <c r="E913" s="56" t="s">
        <v>213</v>
      </c>
      <c r="F913" s="56" t="s">
        <v>1459</v>
      </c>
      <c r="G913" s="56"/>
      <c r="H913" s="52" t="s">
        <v>243</v>
      </c>
      <c r="I913" s="52">
        <v>100</v>
      </c>
      <c r="J913" s="52">
        <v>470000000</v>
      </c>
      <c r="K913" s="56" t="s">
        <v>123</v>
      </c>
      <c r="L913" s="52" t="s">
        <v>1503</v>
      </c>
      <c r="M913" s="56" t="s">
        <v>123</v>
      </c>
      <c r="N913" s="52"/>
      <c r="O913" s="52" t="s">
        <v>1503</v>
      </c>
      <c r="P913" s="53" t="s">
        <v>1547</v>
      </c>
      <c r="Q913" s="52"/>
      <c r="R913" s="52"/>
      <c r="S913" s="54"/>
      <c r="T913" s="52"/>
      <c r="U913" s="54">
        <f t="shared" si="61"/>
        <v>723.21428571428567</v>
      </c>
      <c r="V913" s="54">
        <v>810</v>
      </c>
      <c r="W913" s="52"/>
      <c r="X913" s="52">
        <v>2012</v>
      </c>
      <c r="Y913" s="52"/>
    </row>
    <row r="914" spans="2:25" s="55" customFormat="1" ht="102">
      <c r="B914" s="52" t="s">
        <v>434</v>
      </c>
      <c r="C914" s="78" t="s">
        <v>246</v>
      </c>
      <c r="D914" s="52" t="s">
        <v>321</v>
      </c>
      <c r="E914" s="56" t="s">
        <v>211</v>
      </c>
      <c r="F914" s="56" t="s">
        <v>1460</v>
      </c>
      <c r="G914" s="56"/>
      <c r="H914" s="52" t="s">
        <v>243</v>
      </c>
      <c r="I914" s="52">
        <v>100</v>
      </c>
      <c r="J914" s="52">
        <v>550000000</v>
      </c>
      <c r="K914" s="56" t="s">
        <v>124</v>
      </c>
      <c r="L914" s="52" t="s">
        <v>1503</v>
      </c>
      <c r="M914" s="56" t="s">
        <v>124</v>
      </c>
      <c r="N914" s="52"/>
      <c r="O914" s="53" t="s">
        <v>1975</v>
      </c>
      <c r="P914" s="53" t="s">
        <v>1469</v>
      </c>
      <c r="Q914" s="52"/>
      <c r="R914" s="52"/>
      <c r="S914" s="54"/>
      <c r="T914" s="52"/>
      <c r="U914" s="54">
        <f t="shared" si="61"/>
        <v>191964.28571428571</v>
      </c>
      <c r="V914" s="54">
        <v>215000</v>
      </c>
      <c r="W914" s="52"/>
      <c r="X914" s="52">
        <v>2012</v>
      </c>
      <c r="Y914" s="52"/>
    </row>
    <row r="915" spans="2:25" s="55" customFormat="1" ht="102">
      <c r="B915" s="52" t="s">
        <v>435</v>
      </c>
      <c r="C915" s="78" t="s">
        <v>246</v>
      </c>
      <c r="D915" s="52" t="s">
        <v>290</v>
      </c>
      <c r="E915" s="56" t="s">
        <v>157</v>
      </c>
      <c r="F915" s="56" t="s">
        <v>1458</v>
      </c>
      <c r="G915" s="56"/>
      <c r="H915" s="52" t="s">
        <v>243</v>
      </c>
      <c r="I915" s="52">
        <v>100</v>
      </c>
      <c r="J915" s="52">
        <v>550000000</v>
      </c>
      <c r="K915" s="56" t="s">
        <v>124</v>
      </c>
      <c r="L915" s="52" t="s">
        <v>1503</v>
      </c>
      <c r="M915" s="56" t="s">
        <v>124</v>
      </c>
      <c r="N915" s="52"/>
      <c r="O915" s="53" t="s">
        <v>1975</v>
      </c>
      <c r="P915" s="53" t="s">
        <v>1469</v>
      </c>
      <c r="Q915" s="52"/>
      <c r="R915" s="52"/>
      <c r="S915" s="54"/>
      <c r="T915" s="52"/>
      <c r="U915" s="54">
        <f t="shared" si="61"/>
        <v>171428.57142857142</v>
      </c>
      <c r="V915" s="54">
        <v>192000</v>
      </c>
      <c r="W915" s="52"/>
      <c r="X915" s="52">
        <v>2012</v>
      </c>
      <c r="Y915" s="52"/>
    </row>
    <row r="916" spans="2:25" s="55" customFormat="1" ht="102">
      <c r="B916" s="52" t="s">
        <v>436</v>
      </c>
      <c r="C916" s="78" t="s">
        <v>246</v>
      </c>
      <c r="D916" s="52" t="s">
        <v>323</v>
      </c>
      <c r="E916" s="56" t="s">
        <v>158</v>
      </c>
      <c r="F916" s="53" t="s">
        <v>1461</v>
      </c>
      <c r="G916" s="53"/>
      <c r="H916" s="52" t="s">
        <v>243</v>
      </c>
      <c r="I916" s="52">
        <v>100</v>
      </c>
      <c r="J916" s="52">
        <v>550000000</v>
      </c>
      <c r="K916" s="56" t="s">
        <v>124</v>
      </c>
      <c r="L916" s="52" t="s">
        <v>1503</v>
      </c>
      <c r="M916" s="56" t="s">
        <v>124</v>
      </c>
      <c r="N916" s="52"/>
      <c r="O916" s="53" t="s">
        <v>1975</v>
      </c>
      <c r="P916" s="53" t="s">
        <v>1469</v>
      </c>
      <c r="Q916" s="52"/>
      <c r="R916" s="52"/>
      <c r="S916" s="54"/>
      <c r="T916" s="52"/>
      <c r="U916" s="54">
        <f t="shared" si="61"/>
        <v>192857.14285714287</v>
      </c>
      <c r="V916" s="54">
        <v>216000</v>
      </c>
      <c r="W916" s="52"/>
      <c r="X916" s="52">
        <v>2012</v>
      </c>
      <c r="Y916" s="52"/>
    </row>
    <row r="917" spans="2:25" s="55" customFormat="1" ht="102">
      <c r="B917" s="52" t="s">
        <v>437</v>
      </c>
      <c r="C917" s="78" t="s">
        <v>246</v>
      </c>
      <c r="D917" s="52" t="s">
        <v>321</v>
      </c>
      <c r="E917" s="56" t="s">
        <v>211</v>
      </c>
      <c r="F917" s="56" t="s">
        <v>1460</v>
      </c>
      <c r="G917" s="56"/>
      <c r="H917" s="52" t="s">
        <v>243</v>
      </c>
      <c r="I917" s="52">
        <v>100</v>
      </c>
      <c r="J917" s="52">
        <v>590000000</v>
      </c>
      <c r="K917" s="56" t="s">
        <v>103</v>
      </c>
      <c r="L917" s="52" t="s">
        <v>1503</v>
      </c>
      <c r="M917" s="56" t="s">
        <v>103</v>
      </c>
      <c r="N917" s="52"/>
      <c r="O917" s="53" t="s">
        <v>1975</v>
      </c>
      <c r="P917" s="53" t="s">
        <v>1469</v>
      </c>
      <c r="Q917" s="52"/>
      <c r="R917" s="52"/>
      <c r="S917" s="54"/>
      <c r="T917" s="52"/>
      <c r="U917" s="54">
        <f t="shared" si="61"/>
        <v>191964.28571428571</v>
      </c>
      <c r="V917" s="54">
        <v>215000</v>
      </c>
      <c r="W917" s="52"/>
      <c r="X917" s="52">
        <v>2012</v>
      </c>
      <c r="Y917" s="52"/>
    </row>
    <row r="918" spans="2:25" s="55" customFormat="1" ht="102">
      <c r="B918" s="52" t="s">
        <v>438</v>
      </c>
      <c r="C918" s="78" t="s">
        <v>246</v>
      </c>
      <c r="D918" s="52" t="s">
        <v>290</v>
      </c>
      <c r="E918" s="56" t="s">
        <v>157</v>
      </c>
      <c r="F918" s="56" t="s">
        <v>1458</v>
      </c>
      <c r="G918" s="56"/>
      <c r="H918" s="52" t="s">
        <v>243</v>
      </c>
      <c r="I918" s="52">
        <v>100</v>
      </c>
      <c r="J918" s="52">
        <v>590000000</v>
      </c>
      <c r="K918" s="56" t="s">
        <v>103</v>
      </c>
      <c r="L918" s="52" t="s">
        <v>1503</v>
      </c>
      <c r="M918" s="56" t="s">
        <v>103</v>
      </c>
      <c r="N918" s="52"/>
      <c r="O918" s="53" t="s">
        <v>1975</v>
      </c>
      <c r="P918" s="53" t="s">
        <v>1469</v>
      </c>
      <c r="Q918" s="52"/>
      <c r="R918" s="52"/>
      <c r="S918" s="54"/>
      <c r="T918" s="52"/>
      <c r="U918" s="54">
        <f t="shared" si="61"/>
        <v>137571.42857142858</v>
      </c>
      <c r="V918" s="54">
        <v>154080</v>
      </c>
      <c r="W918" s="52"/>
      <c r="X918" s="52">
        <v>2012</v>
      </c>
      <c r="Y918" s="52"/>
    </row>
    <row r="919" spans="2:25" s="55" customFormat="1" ht="102">
      <c r="B919" s="52" t="s">
        <v>439</v>
      </c>
      <c r="C919" s="78" t="s">
        <v>246</v>
      </c>
      <c r="D919" s="52" t="s">
        <v>323</v>
      </c>
      <c r="E919" s="56" t="s">
        <v>158</v>
      </c>
      <c r="F919" s="53" t="s">
        <v>1461</v>
      </c>
      <c r="G919" s="53"/>
      <c r="H919" s="52" t="s">
        <v>243</v>
      </c>
      <c r="I919" s="52">
        <v>100</v>
      </c>
      <c r="J919" s="52">
        <v>590000000</v>
      </c>
      <c r="K919" s="56" t="s">
        <v>103</v>
      </c>
      <c r="L919" s="52" t="s">
        <v>1503</v>
      </c>
      <c r="M919" s="56" t="s">
        <v>103</v>
      </c>
      <c r="N919" s="52"/>
      <c r="O919" s="53" t="s">
        <v>1975</v>
      </c>
      <c r="P919" s="53" t="s">
        <v>1469</v>
      </c>
      <c r="Q919" s="52"/>
      <c r="R919" s="52"/>
      <c r="S919" s="54"/>
      <c r="T919" s="52"/>
      <c r="U919" s="54">
        <f t="shared" si="61"/>
        <v>146517.85714285713</v>
      </c>
      <c r="V919" s="54">
        <v>164100</v>
      </c>
      <c r="W919" s="52"/>
      <c r="X919" s="52">
        <v>2012</v>
      </c>
      <c r="Y919" s="52"/>
    </row>
    <row r="920" spans="2:25" s="55" customFormat="1" ht="51">
      <c r="B920" s="52" t="s">
        <v>440</v>
      </c>
      <c r="C920" s="78" t="s">
        <v>246</v>
      </c>
      <c r="D920" s="52" t="s">
        <v>324</v>
      </c>
      <c r="E920" s="56" t="s">
        <v>213</v>
      </c>
      <c r="F920" s="56" t="s">
        <v>1459</v>
      </c>
      <c r="G920" s="56"/>
      <c r="H920" s="52" t="s">
        <v>243</v>
      </c>
      <c r="I920" s="52">
        <v>100</v>
      </c>
      <c r="J920" s="52">
        <v>590000000</v>
      </c>
      <c r="K920" s="56" t="s">
        <v>103</v>
      </c>
      <c r="L920" s="52" t="s">
        <v>1503</v>
      </c>
      <c r="M920" s="56" t="s">
        <v>103</v>
      </c>
      <c r="N920" s="52"/>
      <c r="O920" s="52" t="s">
        <v>1503</v>
      </c>
      <c r="P920" s="53" t="s">
        <v>1547</v>
      </c>
      <c r="Q920" s="52"/>
      <c r="R920" s="52"/>
      <c r="S920" s="54"/>
      <c r="T920" s="52"/>
      <c r="U920" s="54">
        <f t="shared" si="61"/>
        <v>1864.2857142857142</v>
      </c>
      <c r="V920" s="54">
        <v>2088</v>
      </c>
      <c r="W920" s="52"/>
      <c r="X920" s="52">
        <v>2012</v>
      </c>
      <c r="Y920" s="52"/>
    </row>
    <row r="921" spans="2:25" s="55" customFormat="1" ht="102">
      <c r="B921" s="52" t="s">
        <v>441</v>
      </c>
      <c r="C921" s="78" t="s">
        <v>246</v>
      </c>
      <c r="D921" s="52" t="s">
        <v>321</v>
      </c>
      <c r="E921" s="56" t="s">
        <v>211</v>
      </c>
      <c r="F921" s="56" t="s">
        <v>1460</v>
      </c>
      <c r="G921" s="56"/>
      <c r="H921" s="52" t="s">
        <v>243</v>
      </c>
      <c r="I921" s="52">
        <v>100</v>
      </c>
      <c r="J921" s="52">
        <v>510000000</v>
      </c>
      <c r="K921" s="63" t="s">
        <v>104</v>
      </c>
      <c r="L921" s="52" t="s">
        <v>1503</v>
      </c>
      <c r="M921" s="63" t="s">
        <v>104</v>
      </c>
      <c r="N921" s="52"/>
      <c r="O921" s="53" t="s">
        <v>1975</v>
      </c>
      <c r="P921" s="53" t="s">
        <v>1469</v>
      </c>
      <c r="Q921" s="52"/>
      <c r="R921" s="52"/>
      <c r="S921" s="54"/>
      <c r="T921" s="52"/>
      <c r="U921" s="54">
        <f t="shared" si="61"/>
        <v>214285.71428571426</v>
      </c>
      <c r="V921" s="54">
        <v>240000</v>
      </c>
      <c r="W921" s="52"/>
      <c r="X921" s="52">
        <v>2012</v>
      </c>
      <c r="Y921" s="52"/>
    </row>
    <row r="922" spans="2:25" s="55" customFormat="1" ht="102">
      <c r="B922" s="52" t="s">
        <v>442</v>
      </c>
      <c r="C922" s="78" t="s">
        <v>246</v>
      </c>
      <c r="D922" s="52" t="s">
        <v>290</v>
      </c>
      <c r="E922" s="56" t="s">
        <v>157</v>
      </c>
      <c r="F922" s="56" t="s">
        <v>1458</v>
      </c>
      <c r="G922" s="56"/>
      <c r="H922" s="52" t="s">
        <v>243</v>
      </c>
      <c r="I922" s="52">
        <v>100</v>
      </c>
      <c r="J922" s="52">
        <v>510000000</v>
      </c>
      <c r="K922" s="63" t="s">
        <v>104</v>
      </c>
      <c r="L922" s="52" t="s">
        <v>1503</v>
      </c>
      <c r="M922" s="63" t="s">
        <v>104</v>
      </c>
      <c r="N922" s="52"/>
      <c r="O922" s="53" t="s">
        <v>1975</v>
      </c>
      <c r="P922" s="53" t="s">
        <v>1469</v>
      </c>
      <c r="Q922" s="52"/>
      <c r="R922" s="52"/>
      <c r="S922" s="54"/>
      <c r="T922" s="52"/>
      <c r="U922" s="54">
        <f t="shared" si="61"/>
        <v>214285.71428571426</v>
      </c>
      <c r="V922" s="54">
        <v>240000</v>
      </c>
      <c r="W922" s="52"/>
      <c r="X922" s="52">
        <v>2012</v>
      </c>
      <c r="Y922" s="52"/>
    </row>
    <row r="923" spans="2:25" s="55" customFormat="1" ht="102">
      <c r="B923" s="52" t="s">
        <v>443</v>
      </c>
      <c r="C923" s="78" t="s">
        <v>246</v>
      </c>
      <c r="D923" s="52" t="s">
        <v>323</v>
      </c>
      <c r="E923" s="56" t="s">
        <v>158</v>
      </c>
      <c r="F923" s="53" t="s">
        <v>1461</v>
      </c>
      <c r="G923" s="53"/>
      <c r="H923" s="52" t="s">
        <v>243</v>
      </c>
      <c r="I923" s="52">
        <v>100</v>
      </c>
      <c r="J923" s="52">
        <v>510000000</v>
      </c>
      <c r="K923" s="63" t="s">
        <v>104</v>
      </c>
      <c r="L923" s="52" t="s">
        <v>1503</v>
      </c>
      <c r="M923" s="63" t="s">
        <v>104</v>
      </c>
      <c r="N923" s="52"/>
      <c r="O923" s="53" t="s">
        <v>1975</v>
      </c>
      <c r="P923" s="53" t="s">
        <v>1469</v>
      </c>
      <c r="Q923" s="52"/>
      <c r="R923" s="52"/>
      <c r="S923" s="54"/>
      <c r="T923" s="52"/>
      <c r="U923" s="54">
        <f t="shared" si="61"/>
        <v>214285.71428571426</v>
      </c>
      <c r="V923" s="54">
        <v>240000</v>
      </c>
      <c r="W923" s="52"/>
      <c r="X923" s="52">
        <v>2012</v>
      </c>
      <c r="Y923" s="52"/>
    </row>
    <row r="924" spans="2:25" s="55" customFormat="1" ht="51">
      <c r="B924" s="52" t="s">
        <v>444</v>
      </c>
      <c r="C924" s="78" t="s">
        <v>246</v>
      </c>
      <c r="D924" s="52" t="s">
        <v>324</v>
      </c>
      <c r="E924" s="56" t="s">
        <v>213</v>
      </c>
      <c r="F924" s="56" t="s">
        <v>1459</v>
      </c>
      <c r="G924" s="56"/>
      <c r="H924" s="52" t="s">
        <v>243</v>
      </c>
      <c r="I924" s="52">
        <v>100</v>
      </c>
      <c r="J924" s="52">
        <v>510000000</v>
      </c>
      <c r="K924" s="63" t="s">
        <v>104</v>
      </c>
      <c r="L924" s="52" t="s">
        <v>1503</v>
      </c>
      <c r="M924" s="63" t="s">
        <v>104</v>
      </c>
      <c r="N924" s="52"/>
      <c r="O924" s="52" t="s">
        <v>1503</v>
      </c>
      <c r="P924" s="53" t="s">
        <v>1547</v>
      </c>
      <c r="Q924" s="52"/>
      <c r="R924" s="52"/>
      <c r="S924" s="54"/>
      <c r="T924" s="52"/>
      <c r="U924" s="54">
        <f t="shared" si="61"/>
        <v>8928.5714285714294</v>
      </c>
      <c r="V924" s="54">
        <v>10000</v>
      </c>
      <c r="W924" s="52"/>
      <c r="X924" s="52">
        <v>2012</v>
      </c>
      <c r="Y924" s="52"/>
    </row>
    <row r="925" spans="2:25" s="55" customFormat="1" ht="102">
      <c r="B925" s="52" t="s">
        <v>445</v>
      </c>
      <c r="C925" s="78" t="s">
        <v>246</v>
      </c>
      <c r="D925" s="52" t="s">
        <v>318</v>
      </c>
      <c r="E925" s="56" t="s">
        <v>159</v>
      </c>
      <c r="F925" s="56" t="s">
        <v>2465</v>
      </c>
      <c r="G925" s="56"/>
      <c r="H925" s="53" t="s">
        <v>243</v>
      </c>
      <c r="I925" s="52">
        <v>100</v>
      </c>
      <c r="J925" s="52">
        <v>751000000</v>
      </c>
      <c r="K925" s="53" t="s">
        <v>2290</v>
      </c>
      <c r="L925" s="56" t="s">
        <v>1501</v>
      </c>
      <c r="M925" s="53" t="s">
        <v>2290</v>
      </c>
      <c r="N925" s="52"/>
      <c r="O925" s="52" t="s">
        <v>1501</v>
      </c>
      <c r="P925" s="53" t="s">
        <v>1469</v>
      </c>
      <c r="Q925" s="52"/>
      <c r="R925" s="52"/>
      <c r="S925" s="52"/>
      <c r="T925" s="52"/>
      <c r="U925" s="54">
        <f t="shared" ref="U925:U931" si="62">V925/112*100</f>
        <v>88392.857142857145</v>
      </c>
      <c r="V925" s="54">
        <f>'[7]благоустр. терр'!$F$3</f>
        <v>99000</v>
      </c>
      <c r="W925" s="52"/>
      <c r="X925" s="52">
        <v>2012</v>
      </c>
      <c r="Y925" s="52"/>
    </row>
    <row r="926" spans="2:25" s="55" customFormat="1" ht="102">
      <c r="B926" s="52" t="s">
        <v>446</v>
      </c>
      <c r="C926" s="78" t="s">
        <v>246</v>
      </c>
      <c r="D926" s="52" t="s">
        <v>318</v>
      </c>
      <c r="E926" s="56" t="s">
        <v>160</v>
      </c>
      <c r="F926" s="56" t="s">
        <v>2281</v>
      </c>
      <c r="G926" s="56"/>
      <c r="H926" s="53" t="s">
        <v>243</v>
      </c>
      <c r="I926" s="52">
        <v>90</v>
      </c>
      <c r="J926" s="52">
        <v>751000000</v>
      </c>
      <c r="K926" s="53" t="s">
        <v>2290</v>
      </c>
      <c r="L926" s="56" t="s">
        <v>1502</v>
      </c>
      <c r="M926" s="53" t="s">
        <v>2290</v>
      </c>
      <c r="N926" s="52"/>
      <c r="O926" s="52" t="s">
        <v>2471</v>
      </c>
      <c r="P926" s="53" t="s">
        <v>1469</v>
      </c>
      <c r="Q926" s="58"/>
      <c r="R926" s="53"/>
      <c r="S926" s="52"/>
      <c r="T926" s="52"/>
      <c r="U926" s="54">
        <f t="shared" si="62"/>
        <v>98440.178571428565</v>
      </c>
      <c r="V926" s="54">
        <v>110253</v>
      </c>
      <c r="W926" s="52"/>
      <c r="X926" s="52">
        <v>2012</v>
      </c>
      <c r="Y926" s="52"/>
    </row>
    <row r="927" spans="2:25" s="55" customFormat="1" ht="102">
      <c r="B927" s="52" t="s">
        <v>447</v>
      </c>
      <c r="C927" s="78" t="s">
        <v>246</v>
      </c>
      <c r="D927" s="128" t="s">
        <v>264</v>
      </c>
      <c r="E927" s="56" t="s">
        <v>161</v>
      </c>
      <c r="F927" s="56" t="s">
        <v>1507</v>
      </c>
      <c r="G927" s="56"/>
      <c r="H927" s="52" t="s">
        <v>243</v>
      </c>
      <c r="I927" s="52">
        <v>70</v>
      </c>
      <c r="J927" s="52">
        <v>751000000</v>
      </c>
      <c r="K927" s="53" t="s">
        <v>2290</v>
      </c>
      <c r="L927" s="53" t="s">
        <v>1503</v>
      </c>
      <c r="M927" s="53" t="s">
        <v>2290</v>
      </c>
      <c r="N927" s="52"/>
      <c r="O927" s="53" t="s">
        <v>1503</v>
      </c>
      <c r="P927" s="53" t="s">
        <v>1469</v>
      </c>
      <c r="Q927" s="52"/>
      <c r="R927" s="52"/>
      <c r="S927" s="54"/>
      <c r="T927" s="52"/>
      <c r="U927" s="54">
        <f t="shared" si="62"/>
        <v>1245535.7142857143</v>
      </c>
      <c r="V927" s="54">
        <f>[1]типограф!$F$4+[1]типограф!$F$5</f>
        <v>1395000</v>
      </c>
      <c r="W927" s="52"/>
      <c r="X927" s="52">
        <v>2012</v>
      </c>
      <c r="Y927" s="52"/>
    </row>
    <row r="928" spans="2:25" s="55" customFormat="1" ht="102">
      <c r="B928" s="52" t="s">
        <v>448</v>
      </c>
      <c r="C928" s="78" t="s">
        <v>246</v>
      </c>
      <c r="D928" s="52" t="s">
        <v>326</v>
      </c>
      <c r="E928" s="56" t="s">
        <v>162</v>
      </c>
      <c r="F928" s="56" t="s">
        <v>2282</v>
      </c>
      <c r="G928" s="56"/>
      <c r="H928" s="52" t="s">
        <v>243</v>
      </c>
      <c r="I928" s="52">
        <v>70</v>
      </c>
      <c r="J928" s="52">
        <v>751000000</v>
      </c>
      <c r="K928" s="53" t="s">
        <v>2290</v>
      </c>
      <c r="L928" s="53" t="s">
        <v>1503</v>
      </c>
      <c r="M928" s="53" t="s">
        <v>2290</v>
      </c>
      <c r="N928" s="52"/>
      <c r="O928" s="53" t="s">
        <v>2176</v>
      </c>
      <c r="P928" s="53" t="s">
        <v>1469</v>
      </c>
      <c r="Q928" s="52"/>
      <c r="R928" s="52"/>
      <c r="S928" s="54"/>
      <c r="T928" s="52"/>
      <c r="U928" s="54">
        <f t="shared" si="62"/>
        <v>446428.57142857148</v>
      </c>
      <c r="V928" s="54">
        <v>500000</v>
      </c>
      <c r="W928" s="52"/>
      <c r="X928" s="52">
        <v>2012</v>
      </c>
      <c r="Y928" s="52"/>
    </row>
    <row r="929" spans="2:26" s="55" customFormat="1" ht="102">
      <c r="B929" s="52" t="s">
        <v>449</v>
      </c>
      <c r="C929" s="78" t="s">
        <v>246</v>
      </c>
      <c r="D929" s="58" t="s">
        <v>319</v>
      </c>
      <c r="E929" s="56" t="s">
        <v>163</v>
      </c>
      <c r="F929" s="56" t="s">
        <v>1504</v>
      </c>
      <c r="G929" s="56"/>
      <c r="H929" s="52" t="s">
        <v>243</v>
      </c>
      <c r="I929" s="52">
        <v>70</v>
      </c>
      <c r="J929" s="52">
        <v>751000000</v>
      </c>
      <c r="K929" s="53" t="s">
        <v>2290</v>
      </c>
      <c r="L929" s="53" t="s">
        <v>1503</v>
      </c>
      <c r="M929" s="53" t="s">
        <v>2290</v>
      </c>
      <c r="N929" s="52"/>
      <c r="O929" s="53" t="s">
        <v>2176</v>
      </c>
      <c r="P929" s="53" t="s">
        <v>1469</v>
      </c>
      <c r="Q929" s="52"/>
      <c r="R929" s="52"/>
      <c r="S929" s="54"/>
      <c r="T929" s="52"/>
      <c r="U929" s="54">
        <f t="shared" si="62"/>
        <v>305357.14285714284</v>
      </c>
      <c r="V929" s="54">
        <f>[1]типограф!$F$7+[1]типограф!$F$11</f>
        <v>342000</v>
      </c>
      <c r="W929" s="52"/>
      <c r="X929" s="52">
        <v>2012</v>
      </c>
      <c r="Y929" s="52"/>
    </row>
    <row r="930" spans="2:26" s="55" customFormat="1" ht="102">
      <c r="B930" s="52" t="s">
        <v>450</v>
      </c>
      <c r="C930" s="78" t="s">
        <v>246</v>
      </c>
      <c r="D930" s="58" t="s">
        <v>320</v>
      </c>
      <c r="E930" s="56" t="s">
        <v>164</v>
      </c>
      <c r="F930" s="56" t="s">
        <v>1505</v>
      </c>
      <c r="G930" s="56"/>
      <c r="H930" s="52" t="s">
        <v>243</v>
      </c>
      <c r="I930" s="52">
        <v>70</v>
      </c>
      <c r="J930" s="52">
        <v>751000000</v>
      </c>
      <c r="K930" s="53" t="s">
        <v>2290</v>
      </c>
      <c r="L930" s="53" t="s">
        <v>2470</v>
      </c>
      <c r="M930" s="53" t="s">
        <v>2290</v>
      </c>
      <c r="N930" s="52"/>
      <c r="O930" s="53" t="s">
        <v>2470</v>
      </c>
      <c r="P930" s="53" t="s">
        <v>1469</v>
      </c>
      <c r="Q930" s="52"/>
      <c r="R930" s="52"/>
      <c r="S930" s="54"/>
      <c r="T930" s="52"/>
      <c r="U930" s="54">
        <f t="shared" si="62"/>
        <v>223214.28571428574</v>
      </c>
      <c r="V930" s="54">
        <f>[1]типограф!$F$9</f>
        <v>250000</v>
      </c>
      <c r="W930" s="52"/>
      <c r="X930" s="52">
        <v>2012</v>
      </c>
      <c r="Y930" s="52"/>
    </row>
    <row r="931" spans="2:26" s="55" customFormat="1" ht="102">
      <c r="B931" s="52" t="s">
        <v>451</v>
      </c>
      <c r="C931" s="78" t="s">
        <v>246</v>
      </c>
      <c r="D931" s="58" t="s">
        <v>325</v>
      </c>
      <c r="E931" s="56" t="s">
        <v>165</v>
      </c>
      <c r="F931" s="56" t="s">
        <v>1506</v>
      </c>
      <c r="G931" s="56"/>
      <c r="H931" s="52" t="s">
        <v>243</v>
      </c>
      <c r="I931" s="52">
        <v>70</v>
      </c>
      <c r="J931" s="52">
        <v>751000000</v>
      </c>
      <c r="K931" s="53" t="s">
        <v>2290</v>
      </c>
      <c r="L931" s="53" t="s">
        <v>2470</v>
      </c>
      <c r="M931" s="53" t="s">
        <v>2290</v>
      </c>
      <c r="N931" s="52"/>
      <c r="O931" s="53" t="s">
        <v>2470</v>
      </c>
      <c r="P931" s="53" t="s">
        <v>1469</v>
      </c>
      <c r="Q931" s="52"/>
      <c r="R931" s="52"/>
      <c r="S931" s="54"/>
      <c r="T931" s="52"/>
      <c r="U931" s="54">
        <f t="shared" si="62"/>
        <v>89285.71428571429</v>
      </c>
      <c r="V931" s="54">
        <v>100000</v>
      </c>
      <c r="W931" s="52"/>
      <c r="X931" s="52">
        <v>2012</v>
      </c>
      <c r="Y931" s="52"/>
    </row>
    <row r="932" spans="2:26" s="55" customFormat="1" ht="63.75">
      <c r="B932" s="52" t="s">
        <v>452</v>
      </c>
      <c r="C932" s="78" t="s">
        <v>246</v>
      </c>
      <c r="D932" s="58" t="s">
        <v>320</v>
      </c>
      <c r="E932" s="56" t="s">
        <v>214</v>
      </c>
      <c r="F932" s="53" t="s">
        <v>1590</v>
      </c>
      <c r="G932" s="53"/>
      <c r="H932" s="52" t="s">
        <v>243</v>
      </c>
      <c r="I932" s="52">
        <v>71</v>
      </c>
      <c r="J932" s="52">
        <v>751000000</v>
      </c>
      <c r="K932" s="53" t="s">
        <v>2290</v>
      </c>
      <c r="L932" s="53" t="s">
        <v>2178</v>
      </c>
      <c r="M932" s="53" t="s">
        <v>2290</v>
      </c>
      <c r="N932" s="52"/>
      <c r="O932" s="53" t="s">
        <v>2178</v>
      </c>
      <c r="P932" s="53" t="s">
        <v>1595</v>
      </c>
      <c r="Q932" s="52"/>
      <c r="R932" s="52"/>
      <c r="S932" s="54"/>
      <c r="T932" s="52"/>
      <c r="U932" s="54">
        <f t="shared" si="61"/>
        <v>267857.14285714284</v>
      </c>
      <c r="V932" s="54">
        <v>300000</v>
      </c>
      <c r="W932" s="52"/>
      <c r="X932" s="52">
        <v>2012</v>
      </c>
      <c r="Y932" s="52"/>
      <c r="Z932" s="171"/>
    </row>
    <row r="933" spans="2:26" s="55" customFormat="1" ht="65.25" customHeight="1" outlineLevel="1">
      <c r="B933" s="52" t="s">
        <v>453</v>
      </c>
      <c r="C933" s="78" t="s">
        <v>246</v>
      </c>
      <c r="D933" s="58" t="s">
        <v>320</v>
      </c>
      <c r="E933" s="56" t="s">
        <v>214</v>
      </c>
      <c r="F933" s="53" t="s">
        <v>1590</v>
      </c>
      <c r="G933" s="53"/>
      <c r="H933" s="52" t="s">
        <v>243</v>
      </c>
      <c r="I933" s="52">
        <v>70</v>
      </c>
      <c r="J933" s="52">
        <v>110000000</v>
      </c>
      <c r="K933" s="56" t="s">
        <v>125</v>
      </c>
      <c r="L933" s="53" t="s">
        <v>1594</v>
      </c>
      <c r="M933" s="56" t="s">
        <v>125</v>
      </c>
      <c r="N933" s="52"/>
      <c r="O933" s="53" t="s">
        <v>1594</v>
      </c>
      <c r="P933" s="53" t="s">
        <v>1595</v>
      </c>
      <c r="Q933" s="52"/>
      <c r="R933" s="52"/>
      <c r="S933" s="54"/>
      <c r="T933" s="56"/>
      <c r="U933" s="54">
        <f t="shared" si="61"/>
        <v>90401.78571428571</v>
      </c>
      <c r="V933" s="54">
        <v>101250</v>
      </c>
      <c r="W933" s="52"/>
      <c r="X933" s="52">
        <v>2012</v>
      </c>
      <c r="Y933" s="52"/>
    </row>
    <row r="934" spans="2:26" s="55" customFormat="1" ht="65.25" customHeight="1" outlineLevel="1">
      <c r="B934" s="52" t="s">
        <v>454</v>
      </c>
      <c r="C934" s="78" t="s">
        <v>246</v>
      </c>
      <c r="D934" s="58" t="s">
        <v>320</v>
      </c>
      <c r="E934" s="56" t="s">
        <v>214</v>
      </c>
      <c r="F934" s="53" t="s">
        <v>1590</v>
      </c>
      <c r="G934" s="53"/>
      <c r="H934" s="52" t="s">
        <v>243</v>
      </c>
      <c r="I934" s="52">
        <v>70</v>
      </c>
      <c r="J934" s="52">
        <v>150000000</v>
      </c>
      <c r="K934" s="56" t="s">
        <v>126</v>
      </c>
      <c r="L934" s="53" t="s">
        <v>1594</v>
      </c>
      <c r="M934" s="56" t="s">
        <v>126</v>
      </c>
      <c r="N934" s="52"/>
      <c r="O934" s="53" t="s">
        <v>1594</v>
      </c>
      <c r="P934" s="53" t="s">
        <v>1595</v>
      </c>
      <c r="Q934" s="52"/>
      <c r="R934" s="52"/>
      <c r="S934" s="54"/>
      <c r="T934" s="56"/>
      <c r="U934" s="54">
        <f t="shared" si="61"/>
        <v>90401.78571428571</v>
      </c>
      <c r="V934" s="54">
        <v>101250</v>
      </c>
      <c r="W934" s="52"/>
      <c r="X934" s="52">
        <v>2012</v>
      </c>
      <c r="Y934" s="52"/>
    </row>
    <row r="935" spans="2:26" s="55" customFormat="1" ht="65.25" customHeight="1" outlineLevel="1">
      <c r="B935" s="52" t="s">
        <v>455</v>
      </c>
      <c r="C935" s="78" t="s">
        <v>246</v>
      </c>
      <c r="D935" s="58" t="s">
        <v>320</v>
      </c>
      <c r="E935" s="56" t="s">
        <v>214</v>
      </c>
      <c r="F935" s="53" t="s">
        <v>1590</v>
      </c>
      <c r="G935" s="53"/>
      <c r="H935" s="52" t="s">
        <v>243</v>
      </c>
      <c r="I935" s="52">
        <v>70</v>
      </c>
      <c r="J935" s="52">
        <v>190000000</v>
      </c>
      <c r="K935" s="56" t="s">
        <v>117</v>
      </c>
      <c r="L935" s="53" t="s">
        <v>1594</v>
      </c>
      <c r="M935" s="56" t="s">
        <v>117</v>
      </c>
      <c r="N935" s="52"/>
      <c r="O935" s="53" t="s">
        <v>1594</v>
      </c>
      <c r="P935" s="53" t="s">
        <v>1595</v>
      </c>
      <c r="Q935" s="52"/>
      <c r="R935" s="52"/>
      <c r="S935" s="54"/>
      <c r="T935" s="56"/>
      <c r="U935" s="54">
        <f t="shared" si="61"/>
        <v>90401.78571428571</v>
      </c>
      <c r="V935" s="54">
        <v>101250</v>
      </c>
      <c r="W935" s="52"/>
      <c r="X935" s="52">
        <v>2012</v>
      </c>
      <c r="Y935" s="52"/>
    </row>
    <row r="936" spans="2:26" s="55" customFormat="1" ht="65.25" customHeight="1" outlineLevel="1">
      <c r="B936" s="52" t="s">
        <v>456</v>
      </c>
      <c r="C936" s="78" t="s">
        <v>246</v>
      </c>
      <c r="D936" s="58" t="s">
        <v>320</v>
      </c>
      <c r="E936" s="56" t="s">
        <v>214</v>
      </c>
      <c r="F936" s="53" t="s">
        <v>1590</v>
      </c>
      <c r="G936" s="53"/>
      <c r="H936" s="52" t="s">
        <v>243</v>
      </c>
      <c r="I936" s="52">
        <v>70</v>
      </c>
      <c r="J936" s="52">
        <v>711000000</v>
      </c>
      <c r="K936" s="56" t="s">
        <v>151</v>
      </c>
      <c r="L936" s="53" t="s">
        <v>1594</v>
      </c>
      <c r="M936" s="53" t="s">
        <v>1816</v>
      </c>
      <c r="N936" s="52"/>
      <c r="O936" s="53" t="s">
        <v>1594</v>
      </c>
      <c r="P936" s="53" t="s">
        <v>1595</v>
      </c>
      <c r="Q936" s="52"/>
      <c r="R936" s="52"/>
      <c r="S936" s="54"/>
      <c r="T936" s="56"/>
      <c r="U936" s="54">
        <f t="shared" si="61"/>
        <v>90401.78571428571</v>
      </c>
      <c r="V936" s="54">
        <v>101250</v>
      </c>
      <c r="W936" s="52"/>
      <c r="X936" s="52">
        <v>2012</v>
      </c>
      <c r="Y936" s="52"/>
    </row>
    <row r="937" spans="2:26" s="55" customFormat="1" ht="65.25" customHeight="1" outlineLevel="1">
      <c r="B937" s="52" t="s">
        <v>457</v>
      </c>
      <c r="C937" s="78" t="s">
        <v>246</v>
      </c>
      <c r="D937" s="58" t="s">
        <v>320</v>
      </c>
      <c r="E937" s="56" t="s">
        <v>214</v>
      </c>
      <c r="F937" s="53" t="s">
        <v>1590</v>
      </c>
      <c r="G937" s="53"/>
      <c r="H937" s="52" t="s">
        <v>243</v>
      </c>
      <c r="I937" s="52">
        <v>70</v>
      </c>
      <c r="J937" s="52">
        <v>751000000</v>
      </c>
      <c r="K937" s="63" t="s">
        <v>1437</v>
      </c>
      <c r="L937" s="53" t="s">
        <v>1594</v>
      </c>
      <c r="M937" s="63" t="s">
        <v>1437</v>
      </c>
      <c r="N937" s="52"/>
      <c r="O937" s="53" t="s">
        <v>1594</v>
      </c>
      <c r="P937" s="53" t="s">
        <v>1595</v>
      </c>
      <c r="Q937" s="52"/>
      <c r="R937" s="52"/>
      <c r="S937" s="54"/>
      <c r="T937" s="63"/>
      <c r="U937" s="54">
        <f t="shared" si="61"/>
        <v>90401.78571428571</v>
      </c>
      <c r="V937" s="54">
        <v>101250</v>
      </c>
      <c r="W937" s="52"/>
      <c r="X937" s="52">
        <v>2012</v>
      </c>
      <c r="Y937" s="52"/>
    </row>
    <row r="938" spans="2:26" s="55" customFormat="1" ht="65.25" customHeight="1" outlineLevel="1">
      <c r="B938" s="52" t="s">
        <v>458</v>
      </c>
      <c r="C938" s="78" t="s">
        <v>246</v>
      </c>
      <c r="D938" s="58" t="s">
        <v>320</v>
      </c>
      <c r="E938" s="56" t="s">
        <v>214</v>
      </c>
      <c r="F938" s="53" t="s">
        <v>1590</v>
      </c>
      <c r="G938" s="53"/>
      <c r="H938" s="52" t="s">
        <v>243</v>
      </c>
      <c r="I938" s="52">
        <v>70</v>
      </c>
      <c r="J938" s="52">
        <v>230000000</v>
      </c>
      <c r="K938" s="56" t="s">
        <v>118</v>
      </c>
      <c r="L938" s="53" t="s">
        <v>1594</v>
      </c>
      <c r="M938" s="56" t="s">
        <v>118</v>
      </c>
      <c r="N938" s="52"/>
      <c r="O938" s="53" t="s">
        <v>1594</v>
      </c>
      <c r="P938" s="53" t="s">
        <v>1595</v>
      </c>
      <c r="Q938" s="52"/>
      <c r="R938" s="52"/>
      <c r="S938" s="54"/>
      <c r="T938" s="56"/>
      <c r="U938" s="54">
        <f>V938/112*100</f>
        <v>90401.78571428571</v>
      </c>
      <c r="V938" s="54">
        <v>101250</v>
      </c>
      <c r="W938" s="52"/>
      <c r="X938" s="52">
        <v>2012</v>
      </c>
      <c r="Y938" s="52"/>
    </row>
    <row r="939" spans="2:26" s="55" customFormat="1" ht="65.25" customHeight="1" outlineLevel="1">
      <c r="B939" s="52" t="s">
        <v>459</v>
      </c>
      <c r="C939" s="78" t="s">
        <v>246</v>
      </c>
      <c r="D939" s="58" t="s">
        <v>320</v>
      </c>
      <c r="E939" s="56" t="s">
        <v>214</v>
      </c>
      <c r="F939" s="53" t="s">
        <v>1590</v>
      </c>
      <c r="G939" s="53"/>
      <c r="H939" s="52" t="s">
        <v>243</v>
      </c>
      <c r="I939" s="52">
        <v>70</v>
      </c>
      <c r="J939" s="52">
        <v>630000000</v>
      </c>
      <c r="K939" s="56" t="s">
        <v>97</v>
      </c>
      <c r="L939" s="53" t="s">
        <v>2154</v>
      </c>
      <c r="M939" s="56" t="s">
        <v>97</v>
      </c>
      <c r="N939" s="52"/>
      <c r="O939" s="53" t="s">
        <v>2154</v>
      </c>
      <c r="P939" s="53" t="s">
        <v>1595</v>
      </c>
      <c r="Q939" s="52"/>
      <c r="R939" s="52"/>
      <c r="S939" s="54"/>
      <c r="T939" s="56"/>
      <c r="U939" s="54">
        <f>V939/112*100</f>
        <v>90401.78571428571</v>
      </c>
      <c r="V939" s="54">
        <v>101250</v>
      </c>
      <c r="W939" s="52"/>
      <c r="X939" s="52">
        <v>2012</v>
      </c>
      <c r="Y939" s="52"/>
    </row>
    <row r="940" spans="2:26" s="55" customFormat="1" ht="65.25" customHeight="1" outlineLevel="1">
      <c r="B940" s="52" t="s">
        <v>460</v>
      </c>
      <c r="C940" s="78" t="s">
        <v>246</v>
      </c>
      <c r="D940" s="58" t="s">
        <v>320</v>
      </c>
      <c r="E940" s="56" t="s">
        <v>214</v>
      </c>
      <c r="F940" s="53" t="s">
        <v>1590</v>
      </c>
      <c r="G940" s="53"/>
      <c r="H940" s="52" t="s">
        <v>243</v>
      </c>
      <c r="I940" s="52">
        <v>70</v>
      </c>
      <c r="J940" s="52">
        <v>310000000</v>
      </c>
      <c r="K940" s="56" t="s">
        <v>119</v>
      </c>
      <c r="L940" s="53" t="s">
        <v>2178</v>
      </c>
      <c r="M940" s="56" t="s">
        <v>119</v>
      </c>
      <c r="N940" s="52"/>
      <c r="O940" s="53" t="s">
        <v>2178</v>
      </c>
      <c r="P940" s="53" t="s">
        <v>1595</v>
      </c>
      <c r="Q940" s="52"/>
      <c r="R940" s="52"/>
      <c r="S940" s="54"/>
      <c r="T940" s="56"/>
      <c r="U940" s="54">
        <f>V940/112*100</f>
        <v>90401.78571428571</v>
      </c>
      <c r="V940" s="54">
        <v>101250</v>
      </c>
      <c r="W940" s="52"/>
      <c r="X940" s="52">
        <v>2012</v>
      </c>
      <c r="Y940" s="52"/>
    </row>
    <row r="941" spans="2:26" s="55" customFormat="1" ht="65.25" customHeight="1" outlineLevel="1">
      <c r="B941" s="52" t="s">
        <v>461</v>
      </c>
      <c r="C941" s="78" t="s">
        <v>246</v>
      </c>
      <c r="D941" s="58" t="s">
        <v>320</v>
      </c>
      <c r="E941" s="56" t="s">
        <v>214</v>
      </c>
      <c r="F941" s="53" t="s">
        <v>1590</v>
      </c>
      <c r="G941" s="53"/>
      <c r="H941" s="52" t="s">
        <v>243</v>
      </c>
      <c r="I941" s="52">
        <v>70</v>
      </c>
      <c r="J941" s="52">
        <v>270000000</v>
      </c>
      <c r="K941" s="56" t="s">
        <v>98</v>
      </c>
      <c r="L941" s="53" t="s">
        <v>1594</v>
      </c>
      <c r="M941" s="56" t="s">
        <v>98</v>
      </c>
      <c r="N941" s="52"/>
      <c r="O941" s="53" t="s">
        <v>1594</v>
      </c>
      <c r="P941" s="53" t="s">
        <v>1595</v>
      </c>
      <c r="Q941" s="52"/>
      <c r="R941" s="52"/>
      <c r="S941" s="54"/>
      <c r="T941" s="56"/>
      <c r="U941" s="54">
        <f>V941/112*100</f>
        <v>90401.78571428571</v>
      </c>
      <c r="V941" s="54">
        <v>101250</v>
      </c>
      <c r="W941" s="52"/>
      <c r="X941" s="52">
        <v>2012</v>
      </c>
      <c r="Y941" s="52"/>
    </row>
    <row r="942" spans="2:26" s="55" customFormat="1" ht="65.25" customHeight="1" outlineLevel="1">
      <c r="B942" s="52" t="s">
        <v>462</v>
      </c>
      <c r="C942" s="78" t="s">
        <v>246</v>
      </c>
      <c r="D942" s="58" t="s">
        <v>320</v>
      </c>
      <c r="E942" s="56" t="s">
        <v>214</v>
      </c>
      <c r="F942" s="53" t="s">
        <v>1590</v>
      </c>
      <c r="G942" s="53"/>
      <c r="H942" s="52" t="s">
        <v>243</v>
      </c>
      <c r="I942" s="52">
        <v>70</v>
      </c>
      <c r="J942" s="52">
        <v>350000000</v>
      </c>
      <c r="K942" s="56" t="s">
        <v>120</v>
      </c>
      <c r="L942" s="53" t="s">
        <v>1594</v>
      </c>
      <c r="M942" s="56" t="s">
        <v>120</v>
      </c>
      <c r="N942" s="52"/>
      <c r="O942" s="53" t="s">
        <v>1594</v>
      </c>
      <c r="P942" s="53" t="s">
        <v>1595</v>
      </c>
      <c r="Q942" s="52"/>
      <c r="R942" s="52"/>
      <c r="S942" s="54"/>
      <c r="T942" s="56"/>
      <c r="U942" s="54">
        <f t="shared" si="61"/>
        <v>90401.78571428571</v>
      </c>
      <c r="V942" s="54">
        <v>101250</v>
      </c>
      <c r="W942" s="52"/>
      <c r="X942" s="52">
        <v>2012</v>
      </c>
      <c r="Y942" s="52"/>
    </row>
    <row r="943" spans="2:26" s="55" customFormat="1" ht="69.75" customHeight="1" outlineLevel="1">
      <c r="B943" s="52" t="s">
        <v>463</v>
      </c>
      <c r="C943" s="78" t="s">
        <v>246</v>
      </c>
      <c r="D943" s="58" t="s">
        <v>320</v>
      </c>
      <c r="E943" s="56" t="s">
        <v>214</v>
      </c>
      <c r="F943" s="53" t="s">
        <v>1590</v>
      </c>
      <c r="G943" s="53"/>
      <c r="H943" s="52" t="s">
        <v>243</v>
      </c>
      <c r="I943" s="52">
        <v>70</v>
      </c>
      <c r="J943" s="52">
        <v>390000000</v>
      </c>
      <c r="K943" s="56" t="s">
        <v>121</v>
      </c>
      <c r="L943" s="53" t="s">
        <v>1594</v>
      </c>
      <c r="M943" s="56" t="s">
        <v>121</v>
      </c>
      <c r="N943" s="52"/>
      <c r="O943" s="53" t="s">
        <v>1594</v>
      </c>
      <c r="P943" s="53" t="s">
        <v>1595</v>
      </c>
      <c r="Q943" s="52"/>
      <c r="R943" s="52"/>
      <c r="S943" s="54"/>
      <c r="T943" s="56"/>
      <c r="U943" s="54">
        <f t="shared" si="61"/>
        <v>90401.78571428571</v>
      </c>
      <c r="V943" s="54">
        <v>101250</v>
      </c>
      <c r="W943" s="52"/>
      <c r="X943" s="52">
        <v>2012</v>
      </c>
      <c r="Y943" s="52"/>
    </row>
    <row r="944" spans="2:26" s="55" customFormat="1" ht="65.25" customHeight="1" outlineLevel="1">
      <c r="B944" s="52" t="s">
        <v>464</v>
      </c>
      <c r="C944" s="78" t="s">
        <v>246</v>
      </c>
      <c r="D944" s="58" t="s">
        <v>320</v>
      </c>
      <c r="E944" s="56" t="s">
        <v>214</v>
      </c>
      <c r="F944" s="53" t="s">
        <v>1590</v>
      </c>
      <c r="G944" s="53"/>
      <c r="H944" s="52" t="s">
        <v>243</v>
      </c>
      <c r="I944" s="52">
        <v>70</v>
      </c>
      <c r="J944" s="52">
        <v>430000000</v>
      </c>
      <c r="K944" s="56" t="s">
        <v>122</v>
      </c>
      <c r="L944" s="53" t="s">
        <v>1594</v>
      </c>
      <c r="M944" s="56" t="s">
        <v>122</v>
      </c>
      <c r="N944" s="52"/>
      <c r="O944" s="53" t="s">
        <v>1594</v>
      </c>
      <c r="P944" s="53" t="s">
        <v>1595</v>
      </c>
      <c r="Q944" s="52"/>
      <c r="R944" s="52"/>
      <c r="S944" s="54"/>
      <c r="T944" s="56"/>
      <c r="U944" s="54">
        <f t="shared" si="61"/>
        <v>90401.78571428571</v>
      </c>
      <c r="V944" s="54">
        <v>101250</v>
      </c>
      <c r="W944" s="52"/>
      <c r="X944" s="52">
        <v>2012</v>
      </c>
      <c r="Y944" s="52"/>
    </row>
    <row r="945" spans="2:25" s="55" customFormat="1" ht="69.75" customHeight="1" outlineLevel="1">
      <c r="B945" s="52" t="s">
        <v>465</v>
      </c>
      <c r="C945" s="78" t="s">
        <v>246</v>
      </c>
      <c r="D945" s="58" t="s">
        <v>320</v>
      </c>
      <c r="E945" s="56" t="s">
        <v>214</v>
      </c>
      <c r="F945" s="53" t="s">
        <v>1590</v>
      </c>
      <c r="G945" s="53"/>
      <c r="H945" s="52" t="s">
        <v>243</v>
      </c>
      <c r="I945" s="52">
        <v>70</v>
      </c>
      <c r="J945" s="52">
        <v>470000000</v>
      </c>
      <c r="K945" s="56" t="s">
        <v>123</v>
      </c>
      <c r="L945" s="53" t="s">
        <v>1594</v>
      </c>
      <c r="M945" s="56" t="s">
        <v>123</v>
      </c>
      <c r="N945" s="52"/>
      <c r="O945" s="53" t="s">
        <v>1594</v>
      </c>
      <c r="P945" s="53" t="s">
        <v>1595</v>
      </c>
      <c r="Q945" s="52"/>
      <c r="R945" s="52"/>
      <c r="S945" s="54"/>
      <c r="T945" s="56"/>
      <c r="U945" s="54">
        <f t="shared" si="61"/>
        <v>90401.78571428571</v>
      </c>
      <c r="V945" s="54">
        <v>101250</v>
      </c>
      <c r="W945" s="52"/>
      <c r="X945" s="52">
        <v>2012</v>
      </c>
      <c r="Y945" s="52"/>
    </row>
    <row r="946" spans="2:25" s="55" customFormat="1" ht="65.25" customHeight="1" outlineLevel="1">
      <c r="B946" s="52" t="s">
        <v>466</v>
      </c>
      <c r="C946" s="78" t="s">
        <v>246</v>
      </c>
      <c r="D946" s="58" t="s">
        <v>320</v>
      </c>
      <c r="E946" s="56" t="s">
        <v>214</v>
      </c>
      <c r="F946" s="53" t="s">
        <v>1590</v>
      </c>
      <c r="G946" s="53"/>
      <c r="H946" s="52" t="s">
        <v>243</v>
      </c>
      <c r="I946" s="52">
        <v>60</v>
      </c>
      <c r="J946" s="52">
        <v>550000000</v>
      </c>
      <c r="K946" s="56" t="s">
        <v>124</v>
      </c>
      <c r="L946" s="53" t="s">
        <v>2173</v>
      </c>
      <c r="M946" s="56" t="s">
        <v>124</v>
      </c>
      <c r="N946" s="52"/>
      <c r="O946" s="53" t="s">
        <v>1594</v>
      </c>
      <c r="P946" s="53" t="s">
        <v>1595</v>
      </c>
      <c r="Q946" s="52"/>
      <c r="R946" s="52"/>
      <c r="S946" s="54"/>
      <c r="T946" s="56"/>
      <c r="U946" s="54">
        <f t="shared" si="61"/>
        <v>90401.78571428571</v>
      </c>
      <c r="V946" s="54">
        <v>101250</v>
      </c>
      <c r="W946" s="52"/>
      <c r="X946" s="52">
        <v>2012</v>
      </c>
      <c r="Y946" s="52"/>
    </row>
    <row r="947" spans="2:25" s="55" customFormat="1" ht="65.25" customHeight="1" outlineLevel="1">
      <c r="B947" s="52" t="s">
        <v>467</v>
      </c>
      <c r="C947" s="78" t="s">
        <v>246</v>
      </c>
      <c r="D947" s="58" t="s">
        <v>320</v>
      </c>
      <c r="E947" s="56" t="s">
        <v>214</v>
      </c>
      <c r="F947" s="53" t="s">
        <v>1590</v>
      </c>
      <c r="G947" s="53"/>
      <c r="H947" s="52" t="s">
        <v>243</v>
      </c>
      <c r="I947" s="52">
        <v>70</v>
      </c>
      <c r="J947" s="52">
        <v>590000000</v>
      </c>
      <c r="K947" s="56" t="s">
        <v>103</v>
      </c>
      <c r="L947" s="53" t="s">
        <v>1594</v>
      </c>
      <c r="M947" s="56" t="s">
        <v>103</v>
      </c>
      <c r="N947" s="52"/>
      <c r="O947" s="53" t="s">
        <v>1594</v>
      </c>
      <c r="P947" s="53" t="s">
        <v>1595</v>
      </c>
      <c r="Q947" s="52"/>
      <c r="R947" s="52"/>
      <c r="S947" s="54"/>
      <c r="T947" s="56"/>
      <c r="U947" s="54">
        <f t="shared" si="61"/>
        <v>90401.78571428571</v>
      </c>
      <c r="V947" s="54">
        <v>101250</v>
      </c>
      <c r="W947" s="52"/>
      <c r="X947" s="52">
        <v>2012</v>
      </c>
      <c r="Y947" s="52"/>
    </row>
    <row r="948" spans="2:25" s="55" customFormat="1" ht="65.25" customHeight="1" outlineLevel="1">
      <c r="B948" s="52" t="s">
        <v>468</v>
      </c>
      <c r="C948" s="78" t="s">
        <v>246</v>
      </c>
      <c r="D948" s="58" t="s">
        <v>320</v>
      </c>
      <c r="E948" s="56" t="s">
        <v>214</v>
      </c>
      <c r="F948" s="53" t="s">
        <v>1590</v>
      </c>
      <c r="G948" s="53"/>
      <c r="H948" s="52" t="s">
        <v>243</v>
      </c>
      <c r="I948" s="52">
        <v>70</v>
      </c>
      <c r="J948" s="52">
        <v>510000000</v>
      </c>
      <c r="K948" s="56" t="s">
        <v>104</v>
      </c>
      <c r="L948" s="53" t="s">
        <v>1594</v>
      </c>
      <c r="M948" s="56" t="s">
        <v>104</v>
      </c>
      <c r="N948" s="52"/>
      <c r="O948" s="53" t="s">
        <v>1594</v>
      </c>
      <c r="P948" s="53" t="s">
        <v>1595</v>
      </c>
      <c r="Q948" s="52"/>
      <c r="R948" s="52"/>
      <c r="S948" s="54"/>
      <c r="T948" s="56"/>
      <c r="U948" s="54">
        <f t="shared" si="61"/>
        <v>90401.78571428571</v>
      </c>
      <c r="V948" s="54">
        <v>101250</v>
      </c>
      <c r="W948" s="52"/>
      <c r="X948" s="52">
        <v>2012</v>
      </c>
      <c r="Y948" s="52"/>
    </row>
    <row r="949" spans="2:25" s="55" customFormat="1" ht="63.75">
      <c r="B949" s="52" t="s">
        <v>469</v>
      </c>
      <c r="C949" s="78" t="s">
        <v>246</v>
      </c>
      <c r="D949" s="52" t="s">
        <v>317</v>
      </c>
      <c r="E949" s="56" t="s">
        <v>166</v>
      </c>
      <c r="F949" s="56" t="s">
        <v>1588</v>
      </c>
      <c r="G949" s="56"/>
      <c r="H949" s="52" t="s">
        <v>245</v>
      </c>
      <c r="I949" s="52">
        <v>80</v>
      </c>
      <c r="J949" s="52">
        <v>751000000</v>
      </c>
      <c r="K949" s="53" t="s">
        <v>2290</v>
      </c>
      <c r="L949" s="53" t="s">
        <v>1684</v>
      </c>
      <c r="M949" s="53" t="s">
        <v>2290</v>
      </c>
      <c r="N949" s="52"/>
      <c r="O949" s="53" t="s">
        <v>1684</v>
      </c>
      <c r="P949" s="53" t="s">
        <v>1570</v>
      </c>
      <c r="Q949" s="52"/>
      <c r="R949" s="52"/>
      <c r="S949" s="54"/>
      <c r="T949" s="52"/>
      <c r="U949" s="54">
        <f t="shared" si="61"/>
        <v>3572142.8571428573</v>
      </c>
      <c r="V949" s="54">
        <v>4000800</v>
      </c>
      <c r="W949" s="52"/>
      <c r="X949" s="52">
        <v>2012</v>
      </c>
      <c r="Y949" s="52"/>
    </row>
    <row r="950" spans="2:25" s="55" customFormat="1" ht="127.5">
      <c r="B950" s="52" t="s">
        <v>470</v>
      </c>
      <c r="C950" s="78" t="s">
        <v>246</v>
      </c>
      <c r="D950" s="52" t="s">
        <v>317</v>
      </c>
      <c r="E950" s="56" t="s">
        <v>167</v>
      </c>
      <c r="F950" s="56" t="s">
        <v>1587</v>
      </c>
      <c r="G950" s="56"/>
      <c r="H950" s="52" t="s">
        <v>243</v>
      </c>
      <c r="I950" s="52">
        <v>100</v>
      </c>
      <c r="J950" s="52">
        <v>751000000</v>
      </c>
      <c r="K950" s="53" t="s">
        <v>2290</v>
      </c>
      <c r="L950" s="53" t="s">
        <v>1468</v>
      </c>
      <c r="M950" s="53" t="s">
        <v>2290</v>
      </c>
      <c r="N950" s="52"/>
      <c r="O950" s="53" t="s">
        <v>1978</v>
      </c>
      <c r="P950" s="53" t="s">
        <v>1475</v>
      </c>
      <c r="Q950" s="52"/>
      <c r="R950" s="52"/>
      <c r="S950" s="54"/>
      <c r="T950" s="52"/>
      <c r="U950" s="54">
        <f t="shared" si="61"/>
        <v>1428571.4285714286</v>
      </c>
      <c r="V950" s="54">
        <v>1600000</v>
      </c>
      <c r="W950" s="52"/>
      <c r="X950" s="52">
        <v>2012</v>
      </c>
      <c r="Y950" s="52"/>
    </row>
    <row r="951" spans="2:25" s="55" customFormat="1" ht="135" customHeight="1">
      <c r="B951" s="52" t="s">
        <v>471</v>
      </c>
      <c r="C951" s="78" t="s">
        <v>246</v>
      </c>
      <c r="D951" s="52" t="s">
        <v>317</v>
      </c>
      <c r="E951" s="56" t="s">
        <v>219</v>
      </c>
      <c r="F951" s="56" t="s">
        <v>2138</v>
      </c>
      <c r="G951" s="56"/>
      <c r="H951" s="53" t="s">
        <v>245</v>
      </c>
      <c r="I951" s="52">
        <v>75</v>
      </c>
      <c r="J951" s="52">
        <v>751000000</v>
      </c>
      <c r="K951" s="53" t="s">
        <v>2290</v>
      </c>
      <c r="L951" s="53" t="s">
        <v>1471</v>
      </c>
      <c r="M951" s="53" t="s">
        <v>2290</v>
      </c>
      <c r="N951" s="52"/>
      <c r="O951" s="53" t="s">
        <v>1979</v>
      </c>
      <c r="P951" s="53" t="s">
        <v>1475</v>
      </c>
      <c r="Q951" s="52"/>
      <c r="R951" s="52"/>
      <c r="S951" s="54">
        <v>1</v>
      </c>
      <c r="T951" s="52"/>
      <c r="U951" s="54">
        <f t="shared" si="61"/>
        <v>0</v>
      </c>
      <c r="V951" s="54">
        <v>0</v>
      </c>
      <c r="W951" s="52"/>
      <c r="X951" s="52">
        <v>2012</v>
      </c>
      <c r="Y951" s="52">
        <v>11.14</v>
      </c>
    </row>
    <row r="952" spans="2:25" s="55" customFormat="1" ht="135" customHeight="1">
      <c r="B952" s="52" t="s">
        <v>2831</v>
      </c>
      <c r="C952" s="78" t="s">
        <v>246</v>
      </c>
      <c r="D952" s="52" t="s">
        <v>317</v>
      </c>
      <c r="E952" s="56" t="s">
        <v>219</v>
      </c>
      <c r="F952" s="56" t="s">
        <v>2138</v>
      </c>
      <c r="G952" s="56"/>
      <c r="H952" s="53" t="s">
        <v>245</v>
      </c>
      <c r="I952" s="52">
        <v>75</v>
      </c>
      <c r="J952" s="52">
        <v>751000000</v>
      </c>
      <c r="K952" s="53" t="s">
        <v>2290</v>
      </c>
      <c r="L952" s="53" t="s">
        <v>1501</v>
      </c>
      <c r="M952" s="53" t="s">
        <v>2290</v>
      </c>
      <c r="N952" s="52"/>
      <c r="O952" s="53" t="s">
        <v>2832</v>
      </c>
      <c r="P952" s="53" t="s">
        <v>1475</v>
      </c>
      <c r="Q952" s="52"/>
      <c r="R952" s="52"/>
      <c r="S952" s="54">
        <v>1</v>
      </c>
      <c r="T952" s="52"/>
      <c r="U952" s="54">
        <f t="shared" si="61"/>
        <v>5357142.8571428573</v>
      </c>
      <c r="V952" s="54">
        <v>6000000</v>
      </c>
      <c r="W952" s="52"/>
      <c r="X952" s="52">
        <v>2012</v>
      </c>
      <c r="Y952" s="52"/>
    </row>
    <row r="953" spans="2:25" s="55" customFormat="1" ht="127.5" outlineLevel="1">
      <c r="B953" s="52" t="s">
        <v>472</v>
      </c>
      <c r="C953" s="78" t="s">
        <v>246</v>
      </c>
      <c r="D953" s="52" t="s">
        <v>305</v>
      </c>
      <c r="E953" s="56" t="s">
        <v>218</v>
      </c>
      <c r="F953" s="53" t="s">
        <v>2310</v>
      </c>
      <c r="G953" s="53"/>
      <c r="H953" s="53" t="s">
        <v>242</v>
      </c>
      <c r="I953" s="52">
        <v>90</v>
      </c>
      <c r="J953" s="52">
        <v>751000000</v>
      </c>
      <c r="K953" s="53" t="s">
        <v>2290</v>
      </c>
      <c r="L953" s="53" t="s">
        <v>1558</v>
      </c>
      <c r="M953" s="53" t="s">
        <v>2290</v>
      </c>
      <c r="N953" s="52"/>
      <c r="O953" s="164" t="s">
        <v>1559</v>
      </c>
      <c r="P953" s="53" t="s">
        <v>1475</v>
      </c>
      <c r="Q953" s="52"/>
      <c r="R953" s="52"/>
      <c r="S953" s="54"/>
      <c r="T953" s="52"/>
      <c r="U953" s="54">
        <f t="shared" si="61"/>
        <v>0</v>
      </c>
      <c r="V953" s="54">
        <f>15000000-15000000</f>
        <v>0</v>
      </c>
      <c r="W953" s="52"/>
      <c r="X953" s="52">
        <v>2012</v>
      </c>
      <c r="Y953" s="52"/>
    </row>
    <row r="954" spans="2:25" s="55" customFormat="1" ht="102" outlineLevel="1">
      <c r="B954" s="52" t="s">
        <v>473</v>
      </c>
      <c r="C954" s="78" t="s">
        <v>246</v>
      </c>
      <c r="D954" s="52" t="s">
        <v>309</v>
      </c>
      <c r="E954" s="56" t="s">
        <v>168</v>
      </c>
      <c r="F954" s="56" t="s">
        <v>1573</v>
      </c>
      <c r="G954" s="56"/>
      <c r="H954" s="52" t="s">
        <v>243</v>
      </c>
      <c r="I954" s="52">
        <v>75</v>
      </c>
      <c r="J954" s="52">
        <v>751000000</v>
      </c>
      <c r="K954" s="53" t="s">
        <v>2290</v>
      </c>
      <c r="L954" s="53" t="s">
        <v>1471</v>
      </c>
      <c r="M954" s="53" t="s">
        <v>2290</v>
      </c>
      <c r="N954" s="52"/>
      <c r="O954" s="53" t="s">
        <v>1611</v>
      </c>
      <c r="P954" s="53" t="s">
        <v>1469</v>
      </c>
      <c r="Q954" s="52"/>
      <c r="R954" s="52"/>
      <c r="S954" s="54">
        <v>1</v>
      </c>
      <c r="T954" s="52"/>
      <c r="U954" s="54">
        <f t="shared" si="61"/>
        <v>1339285.7142857143</v>
      </c>
      <c r="V954" s="54">
        <f>[1]Реклама!$E$9</f>
        <v>1500000</v>
      </c>
      <c r="W954" s="52"/>
      <c r="X954" s="52">
        <v>2012</v>
      </c>
      <c r="Y954" s="52"/>
    </row>
    <row r="955" spans="2:25" s="55" customFormat="1" ht="127.5" outlineLevel="1">
      <c r="B955" s="52" t="s">
        <v>474</v>
      </c>
      <c r="C955" s="78" t="s">
        <v>246</v>
      </c>
      <c r="D955" s="58" t="s">
        <v>306</v>
      </c>
      <c r="E955" s="56" t="s">
        <v>215</v>
      </c>
      <c r="F955" s="53" t="s">
        <v>1612</v>
      </c>
      <c r="G955" s="53"/>
      <c r="H955" s="52" t="s">
        <v>243</v>
      </c>
      <c r="I955" s="52">
        <v>90</v>
      </c>
      <c r="J955" s="52">
        <v>751000000</v>
      </c>
      <c r="K955" s="53" t="s">
        <v>2290</v>
      </c>
      <c r="L955" s="52" t="s">
        <v>1548</v>
      </c>
      <c r="M955" s="53" t="s">
        <v>2290</v>
      </c>
      <c r="N955" s="52"/>
      <c r="O955" s="52" t="s">
        <v>345</v>
      </c>
      <c r="P955" s="53" t="s">
        <v>1796</v>
      </c>
      <c r="Q955" s="52"/>
      <c r="R955" s="52"/>
      <c r="S955" s="54">
        <v>1</v>
      </c>
      <c r="T955" s="52"/>
      <c r="U955" s="54">
        <f t="shared" si="61"/>
        <v>1294642.857142857</v>
      </c>
      <c r="V955" s="54">
        <f>[1]Реклама!$E$10</f>
        <v>1450000</v>
      </c>
      <c r="W955" s="52"/>
      <c r="X955" s="52">
        <v>2012</v>
      </c>
      <c r="Y955" s="52"/>
    </row>
    <row r="956" spans="2:25" s="55" customFormat="1" ht="127.5" outlineLevel="1">
      <c r="B956" s="52" t="s">
        <v>475</v>
      </c>
      <c r="C956" s="78" t="s">
        <v>246</v>
      </c>
      <c r="D956" s="52" t="s">
        <v>309</v>
      </c>
      <c r="E956" s="56" t="s">
        <v>217</v>
      </c>
      <c r="F956" s="56" t="s">
        <v>217</v>
      </c>
      <c r="G956" s="56"/>
      <c r="H956" s="53" t="s">
        <v>242</v>
      </c>
      <c r="I956" s="52">
        <v>90</v>
      </c>
      <c r="J956" s="52">
        <v>751000000</v>
      </c>
      <c r="K956" s="53" t="s">
        <v>2290</v>
      </c>
      <c r="L956" s="53" t="s">
        <v>1471</v>
      </c>
      <c r="M956" s="53" t="s">
        <v>2290</v>
      </c>
      <c r="N956" s="52"/>
      <c r="O956" s="53" t="s">
        <v>1979</v>
      </c>
      <c r="P956" s="53" t="s">
        <v>1475</v>
      </c>
      <c r="Q956" s="52"/>
      <c r="R956" s="52"/>
      <c r="S956" s="54">
        <v>1</v>
      </c>
      <c r="T956" s="52"/>
      <c r="U956" s="54">
        <f t="shared" si="61"/>
        <v>0</v>
      </c>
      <c r="V956" s="54">
        <f>10800000-10800000</f>
        <v>0</v>
      </c>
      <c r="W956" s="52"/>
      <c r="X956" s="52">
        <v>2012</v>
      </c>
      <c r="Y956" s="52"/>
    </row>
    <row r="957" spans="2:25" s="55" customFormat="1" ht="102" outlineLevel="1">
      <c r="B957" s="52" t="s">
        <v>476</v>
      </c>
      <c r="C957" s="78" t="s">
        <v>246</v>
      </c>
      <c r="D957" s="52" t="s">
        <v>298</v>
      </c>
      <c r="E957" s="56" t="s">
        <v>1625</v>
      </c>
      <c r="F957" s="56" t="s">
        <v>2139</v>
      </c>
      <c r="G957" s="56"/>
      <c r="H957" s="52" t="s">
        <v>243</v>
      </c>
      <c r="I957" s="52">
        <v>90</v>
      </c>
      <c r="J957" s="52">
        <v>751000000</v>
      </c>
      <c r="K957" s="53" t="s">
        <v>2290</v>
      </c>
      <c r="L957" s="53" t="s">
        <v>1503</v>
      </c>
      <c r="M957" s="53" t="s">
        <v>2290</v>
      </c>
      <c r="N957" s="52"/>
      <c r="O957" s="53" t="s">
        <v>1975</v>
      </c>
      <c r="P957" s="53" t="s">
        <v>1469</v>
      </c>
      <c r="Q957" s="52"/>
      <c r="R957" s="52"/>
      <c r="S957" s="54">
        <v>1</v>
      </c>
      <c r="T957" s="52"/>
      <c r="U957" s="54">
        <f t="shared" si="61"/>
        <v>535714.28571428568</v>
      </c>
      <c r="V957" s="54">
        <v>600000</v>
      </c>
      <c r="W957" s="52"/>
      <c r="X957" s="52">
        <v>2012</v>
      </c>
      <c r="Y957" s="52"/>
    </row>
    <row r="958" spans="2:25" s="55" customFormat="1" ht="127.5" outlineLevel="1">
      <c r="B958" s="52" t="s">
        <v>477</v>
      </c>
      <c r="C958" s="78" t="s">
        <v>246</v>
      </c>
      <c r="D958" s="52" t="s">
        <v>308</v>
      </c>
      <c r="E958" s="56" t="s">
        <v>2065</v>
      </c>
      <c r="F958" s="53" t="s">
        <v>2140</v>
      </c>
      <c r="G958" s="53"/>
      <c r="H958" s="52" t="s">
        <v>243</v>
      </c>
      <c r="I958" s="52">
        <v>90</v>
      </c>
      <c r="J958" s="52">
        <v>751000000</v>
      </c>
      <c r="K958" s="53" t="s">
        <v>2290</v>
      </c>
      <c r="L958" s="53" t="s">
        <v>1503</v>
      </c>
      <c r="M958" s="53" t="s">
        <v>2290</v>
      </c>
      <c r="N958" s="52"/>
      <c r="O958" s="53" t="s">
        <v>1975</v>
      </c>
      <c r="P958" s="53" t="s">
        <v>1475</v>
      </c>
      <c r="Q958" s="52"/>
      <c r="R958" s="52"/>
      <c r="S958" s="54">
        <v>1</v>
      </c>
      <c r="T958" s="52"/>
      <c r="U958" s="54">
        <f t="shared" si="61"/>
        <v>985714.28571428568</v>
      </c>
      <c r="V958" s="54">
        <f>[1]Реклама!$E$14</f>
        <v>1104000</v>
      </c>
      <c r="W958" s="52"/>
      <c r="X958" s="52">
        <v>2012</v>
      </c>
      <c r="Y958" s="52"/>
    </row>
    <row r="959" spans="2:25" s="55" customFormat="1" ht="127.5" outlineLevel="1">
      <c r="B959" s="52" t="s">
        <v>478</v>
      </c>
      <c r="C959" s="78" t="s">
        <v>246</v>
      </c>
      <c r="D959" s="52" t="s">
        <v>309</v>
      </c>
      <c r="E959" s="56" t="s">
        <v>216</v>
      </c>
      <c r="F959" s="56" t="s">
        <v>216</v>
      </c>
      <c r="G959" s="56"/>
      <c r="H959" s="52" t="s">
        <v>243</v>
      </c>
      <c r="I959" s="52">
        <v>90</v>
      </c>
      <c r="J959" s="52">
        <v>751000000</v>
      </c>
      <c r="K959" s="53" t="s">
        <v>2290</v>
      </c>
      <c r="L959" s="53" t="s">
        <v>2141</v>
      </c>
      <c r="M959" s="53" t="s">
        <v>2290</v>
      </c>
      <c r="N959" s="52"/>
      <c r="O959" s="53" t="s">
        <v>2142</v>
      </c>
      <c r="P959" s="53" t="s">
        <v>1475</v>
      </c>
      <c r="Q959" s="52"/>
      <c r="R959" s="52"/>
      <c r="S959" s="54">
        <v>5</v>
      </c>
      <c r="T959" s="52"/>
      <c r="U959" s="54">
        <f t="shared" si="61"/>
        <v>1562500</v>
      </c>
      <c r="V959" s="54">
        <f>[1]Реклама!$E$15</f>
        <v>1750000</v>
      </c>
      <c r="W959" s="52"/>
      <c r="X959" s="52">
        <v>2012</v>
      </c>
      <c r="Y959" s="52"/>
    </row>
    <row r="960" spans="2:25" s="55" customFormat="1" ht="127.5" outlineLevel="1">
      <c r="B960" s="52" t="s">
        <v>479</v>
      </c>
      <c r="C960" s="78" t="s">
        <v>246</v>
      </c>
      <c r="D960" s="57" t="s">
        <v>1610</v>
      </c>
      <c r="E960" s="56" t="s">
        <v>2311</v>
      </c>
      <c r="F960" s="56" t="s">
        <v>1601</v>
      </c>
      <c r="G960" s="56"/>
      <c r="H960" s="52" t="s">
        <v>243</v>
      </c>
      <c r="I960" s="52">
        <v>70</v>
      </c>
      <c r="J960" s="52">
        <v>751000000</v>
      </c>
      <c r="K960" s="53" t="s">
        <v>2290</v>
      </c>
      <c r="L960" s="56" t="s">
        <v>1471</v>
      </c>
      <c r="M960" s="53" t="s">
        <v>2290</v>
      </c>
      <c r="N960" s="52"/>
      <c r="O960" s="56" t="s">
        <v>1611</v>
      </c>
      <c r="P960" s="53" t="s">
        <v>1475</v>
      </c>
      <c r="Q960" s="52"/>
      <c r="R960" s="52"/>
      <c r="S960" s="54"/>
      <c r="T960" s="52"/>
      <c r="U960" s="54">
        <f t="shared" si="61"/>
        <v>267857.14285714284</v>
      </c>
      <c r="V960" s="54">
        <v>300000</v>
      </c>
      <c r="W960" s="52"/>
      <c r="X960" s="52">
        <v>2012</v>
      </c>
      <c r="Y960" s="52"/>
    </row>
    <row r="961" spans="2:25" s="55" customFormat="1" ht="127.5" outlineLevel="1">
      <c r="B961" s="52" t="s">
        <v>480</v>
      </c>
      <c r="C961" s="78" t="s">
        <v>246</v>
      </c>
      <c r="D961" s="52" t="s">
        <v>338</v>
      </c>
      <c r="E961" s="56" t="s">
        <v>1571</v>
      </c>
      <c r="F961" s="56" t="s">
        <v>2440</v>
      </c>
      <c r="G961" s="56"/>
      <c r="H961" s="52" t="s">
        <v>243</v>
      </c>
      <c r="I961" s="52">
        <v>60</v>
      </c>
      <c r="J961" s="52">
        <v>751000000</v>
      </c>
      <c r="K961" s="53" t="s">
        <v>2290</v>
      </c>
      <c r="L961" s="53" t="s">
        <v>1572</v>
      </c>
      <c r="M961" s="53" t="s">
        <v>2290</v>
      </c>
      <c r="N961" s="52"/>
      <c r="O961" s="53" t="s">
        <v>1572</v>
      </c>
      <c r="P961" s="53" t="s">
        <v>1475</v>
      </c>
      <c r="Q961" s="52"/>
      <c r="R961" s="52"/>
      <c r="S961" s="54"/>
      <c r="T961" s="52"/>
      <c r="U961" s="54">
        <f t="shared" si="61"/>
        <v>2678571.4285714286</v>
      </c>
      <c r="V961" s="54">
        <v>3000000</v>
      </c>
      <c r="W961" s="52"/>
      <c r="X961" s="52">
        <v>2012</v>
      </c>
      <c r="Y961" s="52"/>
    </row>
    <row r="962" spans="2:25" s="55" customFormat="1" ht="127.5" outlineLevel="1">
      <c r="B962" s="52" t="s">
        <v>481</v>
      </c>
      <c r="C962" s="78" t="s">
        <v>246</v>
      </c>
      <c r="D962" s="52" t="s">
        <v>333</v>
      </c>
      <c r="E962" s="56" t="s">
        <v>2143</v>
      </c>
      <c r="F962" s="53" t="s">
        <v>2144</v>
      </c>
      <c r="G962" s="53"/>
      <c r="H962" s="52" t="s">
        <v>243</v>
      </c>
      <c r="I962" s="52">
        <v>100</v>
      </c>
      <c r="J962" s="52">
        <v>751000000</v>
      </c>
      <c r="K962" s="53" t="s">
        <v>2290</v>
      </c>
      <c r="L962" s="52" t="s">
        <v>1548</v>
      </c>
      <c r="M962" s="53" t="s">
        <v>2290</v>
      </c>
      <c r="N962" s="52"/>
      <c r="O962" s="52" t="s">
        <v>2145</v>
      </c>
      <c r="P962" s="53" t="s">
        <v>1796</v>
      </c>
      <c r="Q962" s="52"/>
      <c r="R962" s="52"/>
      <c r="S962" s="54"/>
      <c r="T962" s="52"/>
      <c r="U962" s="54">
        <f t="shared" si="61"/>
        <v>0</v>
      </c>
      <c r="V962" s="54">
        <v>0</v>
      </c>
      <c r="W962" s="52"/>
      <c r="X962" s="52">
        <v>2012</v>
      </c>
      <c r="Y962" s="52">
        <v>11.14</v>
      </c>
    </row>
    <row r="963" spans="2:25" s="55" customFormat="1" ht="127.5" outlineLevel="1">
      <c r="B963" s="52" t="s">
        <v>2833</v>
      </c>
      <c r="C963" s="78" t="s">
        <v>246</v>
      </c>
      <c r="D963" s="52" t="s">
        <v>333</v>
      </c>
      <c r="E963" s="56" t="s">
        <v>2143</v>
      </c>
      <c r="F963" s="53" t="s">
        <v>2144</v>
      </c>
      <c r="G963" s="53"/>
      <c r="H963" s="52" t="s">
        <v>243</v>
      </c>
      <c r="I963" s="52">
        <v>100</v>
      </c>
      <c r="J963" s="52">
        <v>751000000</v>
      </c>
      <c r="K963" s="53" t="s">
        <v>2290</v>
      </c>
      <c r="L963" s="52" t="s">
        <v>1502</v>
      </c>
      <c r="M963" s="53" t="s">
        <v>2290</v>
      </c>
      <c r="N963" s="52"/>
      <c r="O963" s="52" t="s">
        <v>2145</v>
      </c>
      <c r="P963" s="53" t="s">
        <v>1796</v>
      </c>
      <c r="Q963" s="52"/>
      <c r="R963" s="52"/>
      <c r="S963" s="54"/>
      <c r="T963" s="52"/>
      <c r="U963" s="54">
        <f t="shared" si="61"/>
        <v>2678571.4285714286</v>
      </c>
      <c r="V963" s="54">
        <v>3000000</v>
      </c>
      <c r="W963" s="52"/>
      <c r="X963" s="52">
        <v>2012</v>
      </c>
      <c r="Y963" s="52"/>
    </row>
    <row r="964" spans="2:25" s="55" customFormat="1" ht="51" outlineLevel="1">
      <c r="B964" s="52" t="s">
        <v>482</v>
      </c>
      <c r="C964" s="78" t="s">
        <v>246</v>
      </c>
      <c r="D964" s="52" t="s">
        <v>341</v>
      </c>
      <c r="E964" s="56" t="s">
        <v>207</v>
      </c>
      <c r="F964" s="53" t="s">
        <v>1522</v>
      </c>
      <c r="G964" s="53"/>
      <c r="H964" s="52" t="s">
        <v>243</v>
      </c>
      <c r="I964" s="52">
        <v>100</v>
      </c>
      <c r="J964" s="52">
        <v>751000000</v>
      </c>
      <c r="K964" s="53" t="s">
        <v>2290</v>
      </c>
      <c r="L964" s="53" t="s">
        <v>1627</v>
      </c>
      <c r="M964" s="53" t="s">
        <v>2290</v>
      </c>
      <c r="N964" s="52"/>
      <c r="O964" s="53" t="s">
        <v>1627</v>
      </c>
      <c r="P964" s="53" t="s">
        <v>1524</v>
      </c>
      <c r="Q964" s="52"/>
      <c r="R964" s="52"/>
      <c r="S964" s="54"/>
      <c r="T964" s="52"/>
      <c r="U964" s="54">
        <f t="shared" si="61"/>
        <v>44642.857142857145</v>
      </c>
      <c r="V964" s="54">
        <v>50000</v>
      </c>
      <c r="W964" s="52"/>
      <c r="X964" s="52">
        <v>2012</v>
      </c>
      <c r="Y964" s="52"/>
    </row>
    <row r="965" spans="2:25" s="55" customFormat="1" ht="102" outlineLevel="1">
      <c r="B965" s="52" t="s">
        <v>483</v>
      </c>
      <c r="C965" s="78" t="s">
        <v>246</v>
      </c>
      <c r="D965" s="52" t="s">
        <v>341</v>
      </c>
      <c r="E965" s="56" t="s">
        <v>208</v>
      </c>
      <c r="F965" s="53" t="s">
        <v>1523</v>
      </c>
      <c r="G965" s="53"/>
      <c r="H965" s="52" t="s">
        <v>243</v>
      </c>
      <c r="I965" s="52">
        <v>100</v>
      </c>
      <c r="J965" s="52">
        <v>751000000</v>
      </c>
      <c r="K965" s="53" t="s">
        <v>2290</v>
      </c>
      <c r="L965" s="53" t="s">
        <v>1468</v>
      </c>
      <c r="M965" s="53" t="s">
        <v>2290</v>
      </c>
      <c r="N965" s="52"/>
      <c r="O965" s="53" t="s">
        <v>1975</v>
      </c>
      <c r="P965" s="53" t="s">
        <v>1491</v>
      </c>
      <c r="Q965" s="52"/>
      <c r="R965" s="52"/>
      <c r="S965" s="54"/>
      <c r="T965" s="52"/>
      <c r="U965" s="54">
        <v>0</v>
      </c>
      <c r="V965" s="54">
        <v>0</v>
      </c>
      <c r="W965" s="52"/>
      <c r="X965" s="52">
        <v>2012</v>
      </c>
      <c r="Y965" s="52">
        <v>11.14</v>
      </c>
    </row>
    <row r="966" spans="2:25" s="55" customFormat="1" ht="102" outlineLevel="1">
      <c r="B966" s="52" t="s">
        <v>2570</v>
      </c>
      <c r="C966" s="78" t="s">
        <v>246</v>
      </c>
      <c r="D966" s="52" t="s">
        <v>341</v>
      </c>
      <c r="E966" s="56" t="s">
        <v>208</v>
      </c>
      <c r="F966" s="53" t="s">
        <v>1523</v>
      </c>
      <c r="G966" s="53"/>
      <c r="H966" s="52" t="s">
        <v>243</v>
      </c>
      <c r="I966" s="52">
        <v>100</v>
      </c>
      <c r="J966" s="52">
        <v>751000000</v>
      </c>
      <c r="K966" s="53" t="s">
        <v>2290</v>
      </c>
      <c r="L966" s="53" t="s">
        <v>1462</v>
      </c>
      <c r="M966" s="53" t="s">
        <v>2290</v>
      </c>
      <c r="N966" s="52"/>
      <c r="O966" s="53" t="s">
        <v>1977</v>
      </c>
      <c r="P966" s="53" t="s">
        <v>1491</v>
      </c>
      <c r="Q966" s="52"/>
      <c r="R966" s="52"/>
      <c r="S966" s="54"/>
      <c r="T966" s="52"/>
      <c r="U966" s="54">
        <f t="shared" ref="U966:U967" si="63">V966/112*100</f>
        <v>0</v>
      </c>
      <c r="V966" s="54">
        <v>0</v>
      </c>
      <c r="W966" s="52"/>
      <c r="X966" s="52">
        <v>2012</v>
      </c>
      <c r="Y966" s="52" t="s">
        <v>2661</v>
      </c>
    </row>
    <row r="967" spans="2:25" s="55" customFormat="1" ht="102" outlineLevel="1">
      <c r="B967" s="52" t="s">
        <v>2677</v>
      </c>
      <c r="C967" s="78" t="s">
        <v>246</v>
      </c>
      <c r="D967" s="52" t="s">
        <v>341</v>
      </c>
      <c r="E967" s="56" t="s">
        <v>208</v>
      </c>
      <c r="F967" s="53" t="s">
        <v>1523</v>
      </c>
      <c r="G967" s="53"/>
      <c r="H967" s="52" t="s">
        <v>243</v>
      </c>
      <c r="I967" s="52">
        <v>100</v>
      </c>
      <c r="J967" s="52">
        <v>751000000</v>
      </c>
      <c r="K967" s="53" t="s">
        <v>2290</v>
      </c>
      <c r="L967" s="53" t="s">
        <v>1463</v>
      </c>
      <c r="M967" s="53" t="s">
        <v>2290</v>
      </c>
      <c r="N967" s="52"/>
      <c r="O967" s="53" t="s">
        <v>2193</v>
      </c>
      <c r="P967" s="53" t="s">
        <v>1491</v>
      </c>
      <c r="Q967" s="52"/>
      <c r="R967" s="52"/>
      <c r="S967" s="54"/>
      <c r="T967" s="52"/>
      <c r="U967" s="54">
        <f t="shared" si="63"/>
        <v>178571.42857142858</v>
      </c>
      <c r="V967" s="54">
        <v>200000</v>
      </c>
      <c r="W967" s="52"/>
      <c r="X967" s="52">
        <v>2012</v>
      </c>
      <c r="Y967" s="52"/>
    </row>
    <row r="968" spans="2:25" s="55" customFormat="1" ht="108" customHeight="1" outlineLevel="1">
      <c r="B968" s="52" t="s">
        <v>484</v>
      </c>
      <c r="C968" s="78" t="s">
        <v>246</v>
      </c>
      <c r="D968" s="52" t="s">
        <v>338</v>
      </c>
      <c r="E968" s="56" t="s">
        <v>1847</v>
      </c>
      <c r="F968" s="56" t="s">
        <v>1847</v>
      </c>
      <c r="G968" s="56"/>
      <c r="H968" s="56" t="s">
        <v>242</v>
      </c>
      <c r="I968" s="56">
        <v>90</v>
      </c>
      <c r="J968" s="56">
        <v>751000000</v>
      </c>
      <c r="K968" s="53" t="s">
        <v>2290</v>
      </c>
      <c r="L968" s="56" t="s">
        <v>2312</v>
      </c>
      <c r="M968" s="53" t="s">
        <v>2290</v>
      </c>
      <c r="N968" s="52"/>
      <c r="O968" s="53" t="s">
        <v>2137</v>
      </c>
      <c r="P968" s="53" t="s">
        <v>1469</v>
      </c>
      <c r="Q968" s="52"/>
      <c r="R968" s="52"/>
      <c r="S968" s="54"/>
      <c r="T968" s="52"/>
      <c r="U968" s="54">
        <f t="shared" ref="U968:U969" si="64">V968/112*100</f>
        <v>0</v>
      </c>
      <c r="V968" s="54">
        <v>0</v>
      </c>
      <c r="W968" s="52"/>
      <c r="X968" s="52">
        <v>2012</v>
      </c>
      <c r="Y968" s="52">
        <v>11.14</v>
      </c>
    </row>
    <row r="969" spans="2:25" s="55" customFormat="1" ht="108" customHeight="1" outlineLevel="1">
      <c r="B969" s="52" t="s">
        <v>2571</v>
      </c>
      <c r="C969" s="78" t="s">
        <v>246</v>
      </c>
      <c r="D969" s="52" t="s">
        <v>338</v>
      </c>
      <c r="E969" s="56" t="s">
        <v>1847</v>
      </c>
      <c r="F969" s="56" t="s">
        <v>1847</v>
      </c>
      <c r="G969" s="56"/>
      <c r="H969" s="56" t="s">
        <v>242</v>
      </c>
      <c r="I969" s="56">
        <v>90</v>
      </c>
      <c r="J969" s="56">
        <v>751000000</v>
      </c>
      <c r="K969" s="53" t="s">
        <v>2290</v>
      </c>
      <c r="L969" s="56" t="s">
        <v>1471</v>
      </c>
      <c r="M969" s="53" t="s">
        <v>2290</v>
      </c>
      <c r="N969" s="52"/>
      <c r="O969" s="53" t="s">
        <v>345</v>
      </c>
      <c r="P969" s="53" t="s">
        <v>1469</v>
      </c>
      <c r="Q969" s="52"/>
      <c r="R969" s="52"/>
      <c r="S969" s="54"/>
      <c r="T969" s="52"/>
      <c r="U969" s="54">
        <f t="shared" si="64"/>
        <v>0</v>
      </c>
      <c r="V969" s="54">
        <v>0</v>
      </c>
      <c r="W969" s="52"/>
      <c r="X969" s="52">
        <v>2012</v>
      </c>
      <c r="Y969" s="52"/>
    </row>
    <row r="970" spans="2:25" s="55" customFormat="1" ht="63.75" outlineLevel="1">
      <c r="B970" s="52" t="s">
        <v>485</v>
      </c>
      <c r="C970" s="78" t="s">
        <v>246</v>
      </c>
      <c r="D970" s="52" t="s">
        <v>317</v>
      </c>
      <c r="E970" s="56" t="s">
        <v>220</v>
      </c>
      <c r="F970" s="56" t="s">
        <v>1536</v>
      </c>
      <c r="G970" s="56"/>
      <c r="H970" s="52" t="s">
        <v>243</v>
      </c>
      <c r="I970" s="52">
        <v>100</v>
      </c>
      <c r="J970" s="52">
        <v>110000000</v>
      </c>
      <c r="K970" s="56" t="s">
        <v>125</v>
      </c>
      <c r="L970" s="53" t="s">
        <v>1627</v>
      </c>
      <c r="M970" s="56" t="s">
        <v>125</v>
      </c>
      <c r="N970" s="52"/>
      <c r="O970" s="53" t="s">
        <v>1627</v>
      </c>
      <c r="P970" s="53" t="s">
        <v>1524</v>
      </c>
      <c r="Q970" s="52"/>
      <c r="R970" s="52"/>
      <c r="S970" s="54"/>
      <c r="T970" s="52"/>
      <c r="U970" s="54">
        <f t="shared" si="61"/>
        <v>642857.14285714284</v>
      </c>
      <c r="V970" s="54">
        <f>60000*12</f>
        <v>720000</v>
      </c>
      <c r="W970" s="52"/>
      <c r="X970" s="52">
        <v>2012</v>
      </c>
      <c r="Y970" s="52"/>
    </row>
    <row r="971" spans="2:25" s="55" customFormat="1" ht="63.75" outlineLevel="1">
      <c r="B971" s="52" t="s">
        <v>486</v>
      </c>
      <c r="C971" s="78" t="s">
        <v>246</v>
      </c>
      <c r="D971" s="52" t="s">
        <v>317</v>
      </c>
      <c r="E971" s="56" t="s">
        <v>220</v>
      </c>
      <c r="F971" s="56" t="s">
        <v>1536</v>
      </c>
      <c r="G971" s="56"/>
      <c r="H971" s="52" t="s">
        <v>243</v>
      </c>
      <c r="I971" s="52">
        <v>100</v>
      </c>
      <c r="J971" s="52">
        <v>150000000</v>
      </c>
      <c r="K971" s="56" t="s">
        <v>126</v>
      </c>
      <c r="L971" s="53" t="s">
        <v>1627</v>
      </c>
      <c r="M971" s="56" t="s">
        <v>126</v>
      </c>
      <c r="N971" s="52"/>
      <c r="O971" s="53" t="s">
        <v>1627</v>
      </c>
      <c r="P971" s="53" t="s">
        <v>1524</v>
      </c>
      <c r="Q971" s="52"/>
      <c r="R971" s="52"/>
      <c r="S971" s="54"/>
      <c r="T971" s="52"/>
      <c r="U971" s="54">
        <f t="shared" ref="U971:U1045" si="65">V971/112*100</f>
        <v>642857.14285714284</v>
      </c>
      <c r="V971" s="54">
        <f t="shared" ref="V971:V986" si="66">60000*12</f>
        <v>720000</v>
      </c>
      <c r="W971" s="52"/>
      <c r="X971" s="52">
        <v>2012</v>
      </c>
      <c r="Y971" s="52"/>
    </row>
    <row r="972" spans="2:25" s="55" customFormat="1" ht="63.75" outlineLevel="1">
      <c r="B972" s="52" t="s">
        <v>487</v>
      </c>
      <c r="C972" s="78" t="s">
        <v>246</v>
      </c>
      <c r="D972" s="52" t="s">
        <v>317</v>
      </c>
      <c r="E972" s="56" t="s">
        <v>220</v>
      </c>
      <c r="F972" s="56" t="s">
        <v>1536</v>
      </c>
      <c r="G972" s="56"/>
      <c r="H972" s="52" t="s">
        <v>243</v>
      </c>
      <c r="I972" s="52">
        <v>100</v>
      </c>
      <c r="J972" s="52">
        <v>190000000</v>
      </c>
      <c r="K972" s="56" t="s">
        <v>117</v>
      </c>
      <c r="L972" s="53" t="s">
        <v>1627</v>
      </c>
      <c r="M972" s="56" t="s">
        <v>117</v>
      </c>
      <c r="N972" s="52"/>
      <c r="O972" s="53" t="s">
        <v>1627</v>
      </c>
      <c r="P972" s="53" t="s">
        <v>1524</v>
      </c>
      <c r="Q972" s="52"/>
      <c r="R972" s="52"/>
      <c r="S972" s="54"/>
      <c r="T972" s="52"/>
      <c r="U972" s="54">
        <f t="shared" si="65"/>
        <v>642857.14285714284</v>
      </c>
      <c r="V972" s="54">
        <f t="shared" si="66"/>
        <v>720000</v>
      </c>
      <c r="W972" s="52"/>
      <c r="X972" s="52">
        <v>2012</v>
      </c>
      <c r="Y972" s="52"/>
    </row>
    <row r="973" spans="2:25" s="55" customFormat="1" ht="63.75" outlineLevel="1">
      <c r="B973" s="52" t="s">
        <v>488</v>
      </c>
      <c r="C973" s="78" t="s">
        <v>246</v>
      </c>
      <c r="D973" s="52" t="s">
        <v>317</v>
      </c>
      <c r="E973" s="56" t="s">
        <v>220</v>
      </c>
      <c r="F973" s="56" t="s">
        <v>1536</v>
      </c>
      <c r="G973" s="56"/>
      <c r="H973" s="52" t="s">
        <v>243</v>
      </c>
      <c r="I973" s="52">
        <v>100</v>
      </c>
      <c r="J973" s="52">
        <v>751000000</v>
      </c>
      <c r="K973" s="63" t="s">
        <v>1437</v>
      </c>
      <c r="L973" s="53" t="s">
        <v>2182</v>
      </c>
      <c r="M973" s="63" t="s">
        <v>1437</v>
      </c>
      <c r="N973" s="52"/>
      <c r="O973" s="53" t="s">
        <v>2182</v>
      </c>
      <c r="P973" s="53" t="s">
        <v>1524</v>
      </c>
      <c r="Q973" s="52"/>
      <c r="R973" s="52"/>
      <c r="S973" s="54"/>
      <c r="T973" s="52"/>
      <c r="U973" s="54">
        <f t="shared" si="65"/>
        <v>0</v>
      </c>
      <c r="V973" s="54">
        <v>0</v>
      </c>
      <c r="W973" s="52"/>
      <c r="X973" s="52">
        <v>2012</v>
      </c>
      <c r="Y973" s="52">
        <v>21</v>
      </c>
    </row>
    <row r="974" spans="2:25" s="55" customFormat="1" ht="63.75" outlineLevel="1">
      <c r="B974" s="52" t="s">
        <v>2834</v>
      </c>
      <c r="C974" s="78" t="s">
        <v>246</v>
      </c>
      <c r="D974" s="52" t="s">
        <v>317</v>
      </c>
      <c r="E974" s="56" t="s">
        <v>220</v>
      </c>
      <c r="F974" s="56" t="s">
        <v>1536</v>
      </c>
      <c r="G974" s="56"/>
      <c r="H974" s="52" t="s">
        <v>243</v>
      </c>
      <c r="I974" s="52">
        <v>100</v>
      </c>
      <c r="J974" s="52">
        <v>751000000</v>
      </c>
      <c r="K974" s="63" t="s">
        <v>1437</v>
      </c>
      <c r="L974" s="53" t="s">
        <v>2182</v>
      </c>
      <c r="M974" s="63" t="s">
        <v>1437</v>
      </c>
      <c r="N974" s="52"/>
      <c r="O974" s="53" t="s">
        <v>2182</v>
      </c>
      <c r="P974" s="53" t="s">
        <v>1524</v>
      </c>
      <c r="Q974" s="52"/>
      <c r="R974" s="52"/>
      <c r="S974" s="54"/>
      <c r="T974" s="52"/>
      <c r="U974" s="54">
        <f t="shared" si="65"/>
        <v>1004464.2857142857</v>
      </c>
      <c r="V974" s="54">
        <f>720000+405000</f>
        <v>1125000</v>
      </c>
      <c r="W974" s="52"/>
      <c r="X974" s="52">
        <v>2012</v>
      </c>
      <c r="Y974" s="52"/>
    </row>
    <row r="975" spans="2:25" s="55" customFormat="1" ht="63.75" outlineLevel="1">
      <c r="B975" s="52" t="s">
        <v>489</v>
      </c>
      <c r="C975" s="78" t="s">
        <v>246</v>
      </c>
      <c r="D975" s="52" t="s">
        <v>317</v>
      </c>
      <c r="E975" s="56" t="s">
        <v>220</v>
      </c>
      <c r="F975" s="56" t="s">
        <v>1536</v>
      </c>
      <c r="G975" s="56"/>
      <c r="H975" s="52" t="s">
        <v>243</v>
      </c>
      <c r="I975" s="52">
        <v>100</v>
      </c>
      <c r="J975" s="52">
        <v>711000000</v>
      </c>
      <c r="K975" s="56" t="s">
        <v>151</v>
      </c>
      <c r="L975" s="53" t="s">
        <v>1627</v>
      </c>
      <c r="M975" s="53" t="s">
        <v>1816</v>
      </c>
      <c r="N975" s="52"/>
      <c r="O975" s="53" t="s">
        <v>1627</v>
      </c>
      <c r="P975" s="53" t="s">
        <v>1524</v>
      </c>
      <c r="Q975" s="52"/>
      <c r="R975" s="52"/>
      <c r="S975" s="54"/>
      <c r="T975" s="52"/>
      <c r="U975" s="54">
        <f t="shared" si="65"/>
        <v>642857.14285714284</v>
      </c>
      <c r="V975" s="54">
        <f t="shared" si="66"/>
        <v>720000</v>
      </c>
      <c r="W975" s="52"/>
      <c r="X975" s="52">
        <v>2012</v>
      </c>
      <c r="Y975" s="52"/>
    </row>
    <row r="976" spans="2:25" s="55" customFormat="1" ht="63.75" outlineLevel="1">
      <c r="B976" s="52" t="s">
        <v>490</v>
      </c>
      <c r="C976" s="78" t="s">
        <v>246</v>
      </c>
      <c r="D976" s="52" t="s">
        <v>317</v>
      </c>
      <c r="E976" s="56" t="s">
        <v>220</v>
      </c>
      <c r="F976" s="56" t="s">
        <v>1536</v>
      </c>
      <c r="G976" s="56"/>
      <c r="H976" s="52" t="s">
        <v>243</v>
      </c>
      <c r="I976" s="52">
        <v>100</v>
      </c>
      <c r="J976" s="52">
        <v>230000000</v>
      </c>
      <c r="K976" s="56" t="s">
        <v>118</v>
      </c>
      <c r="L976" s="53" t="s">
        <v>1627</v>
      </c>
      <c r="M976" s="56" t="s">
        <v>118</v>
      </c>
      <c r="N976" s="52"/>
      <c r="O976" s="53" t="s">
        <v>1627</v>
      </c>
      <c r="P976" s="53" t="s">
        <v>1524</v>
      </c>
      <c r="Q976" s="52"/>
      <c r="R976" s="52"/>
      <c r="S976" s="54"/>
      <c r="T976" s="52"/>
      <c r="U976" s="54">
        <f t="shared" si="65"/>
        <v>642857.14285714284</v>
      </c>
      <c r="V976" s="54">
        <f t="shared" si="66"/>
        <v>720000</v>
      </c>
      <c r="W976" s="52"/>
      <c r="X976" s="52">
        <v>2012</v>
      </c>
      <c r="Y976" s="52"/>
    </row>
    <row r="977" spans="2:25" s="55" customFormat="1" ht="63.75" outlineLevel="1">
      <c r="B977" s="52" t="s">
        <v>491</v>
      </c>
      <c r="C977" s="78" t="s">
        <v>246</v>
      </c>
      <c r="D977" s="52" t="s">
        <v>317</v>
      </c>
      <c r="E977" s="56" t="s">
        <v>220</v>
      </c>
      <c r="F977" s="56" t="s">
        <v>1536</v>
      </c>
      <c r="G977" s="56"/>
      <c r="H977" s="52" t="s">
        <v>243</v>
      </c>
      <c r="I977" s="52">
        <v>100</v>
      </c>
      <c r="J977" s="52">
        <v>630000000</v>
      </c>
      <c r="K977" s="56" t="s">
        <v>97</v>
      </c>
      <c r="L977" s="53" t="s">
        <v>1627</v>
      </c>
      <c r="M977" s="56" t="s">
        <v>97</v>
      </c>
      <c r="N977" s="52"/>
      <c r="O977" s="53" t="s">
        <v>1627</v>
      </c>
      <c r="P977" s="53" t="s">
        <v>1524</v>
      </c>
      <c r="Q977" s="52"/>
      <c r="R977" s="52"/>
      <c r="S977" s="54"/>
      <c r="T977" s="52"/>
      <c r="U977" s="54">
        <f t="shared" si="65"/>
        <v>642857.14285714284</v>
      </c>
      <c r="V977" s="54">
        <f t="shared" si="66"/>
        <v>720000</v>
      </c>
      <c r="W977" s="52"/>
      <c r="X977" s="52">
        <v>2012</v>
      </c>
      <c r="Y977" s="52"/>
    </row>
    <row r="978" spans="2:25" s="55" customFormat="1" ht="63.75" outlineLevel="1">
      <c r="B978" s="52" t="s">
        <v>492</v>
      </c>
      <c r="C978" s="78" t="s">
        <v>246</v>
      </c>
      <c r="D978" s="52" t="s">
        <v>317</v>
      </c>
      <c r="E978" s="56" t="s">
        <v>220</v>
      </c>
      <c r="F978" s="56" t="s">
        <v>1536</v>
      </c>
      <c r="G978" s="56"/>
      <c r="H978" s="52" t="s">
        <v>243</v>
      </c>
      <c r="I978" s="52">
        <v>100</v>
      </c>
      <c r="J978" s="52">
        <v>310000000</v>
      </c>
      <c r="K978" s="56" t="s">
        <v>119</v>
      </c>
      <c r="L978" s="53" t="s">
        <v>1627</v>
      </c>
      <c r="M978" s="56" t="s">
        <v>119</v>
      </c>
      <c r="N978" s="52"/>
      <c r="O978" s="53" t="s">
        <v>2179</v>
      </c>
      <c r="P978" s="53" t="s">
        <v>1524</v>
      </c>
      <c r="Q978" s="52"/>
      <c r="R978" s="52"/>
      <c r="S978" s="54"/>
      <c r="T978" s="52"/>
      <c r="U978" s="54">
        <f t="shared" si="65"/>
        <v>642857.14285714284</v>
      </c>
      <c r="V978" s="54">
        <v>720000</v>
      </c>
      <c r="W978" s="52"/>
      <c r="X978" s="52">
        <v>2012</v>
      </c>
      <c r="Y978" s="52"/>
    </row>
    <row r="979" spans="2:25" s="55" customFormat="1" ht="63.75" outlineLevel="1">
      <c r="B979" s="52" t="s">
        <v>493</v>
      </c>
      <c r="C979" s="78" t="s">
        <v>246</v>
      </c>
      <c r="D979" s="52" t="s">
        <v>317</v>
      </c>
      <c r="E979" s="56" t="s">
        <v>220</v>
      </c>
      <c r="F979" s="56" t="s">
        <v>1536</v>
      </c>
      <c r="G979" s="56"/>
      <c r="H979" s="52" t="s">
        <v>243</v>
      </c>
      <c r="I979" s="52">
        <v>100</v>
      </c>
      <c r="J979" s="52">
        <v>270000000</v>
      </c>
      <c r="K979" s="56" t="s">
        <v>98</v>
      </c>
      <c r="L979" s="53" t="s">
        <v>1627</v>
      </c>
      <c r="M979" s="56" t="s">
        <v>98</v>
      </c>
      <c r="N979" s="52"/>
      <c r="O979" s="53" t="s">
        <v>1627</v>
      </c>
      <c r="P979" s="53" t="s">
        <v>1524</v>
      </c>
      <c r="Q979" s="52"/>
      <c r="R979" s="52"/>
      <c r="S979" s="54"/>
      <c r="T979" s="52"/>
      <c r="U979" s="54">
        <f t="shared" si="65"/>
        <v>642857.14285714284</v>
      </c>
      <c r="V979" s="54">
        <f>60000*12</f>
        <v>720000</v>
      </c>
      <c r="W979" s="52"/>
      <c r="X979" s="52">
        <v>2012</v>
      </c>
      <c r="Y979" s="52"/>
    </row>
    <row r="980" spans="2:25" s="55" customFormat="1" ht="63.75" outlineLevel="1">
      <c r="B980" s="52" t="s">
        <v>494</v>
      </c>
      <c r="C980" s="78" t="s">
        <v>246</v>
      </c>
      <c r="D980" s="52" t="s">
        <v>317</v>
      </c>
      <c r="E980" s="56" t="s">
        <v>220</v>
      </c>
      <c r="F980" s="56" t="s">
        <v>1536</v>
      </c>
      <c r="G980" s="56"/>
      <c r="H980" s="52" t="s">
        <v>243</v>
      </c>
      <c r="I980" s="52">
        <v>100</v>
      </c>
      <c r="J980" s="52">
        <v>350000000</v>
      </c>
      <c r="K980" s="56" t="s">
        <v>120</v>
      </c>
      <c r="L980" s="53" t="s">
        <v>1627</v>
      </c>
      <c r="M980" s="56" t="s">
        <v>120</v>
      </c>
      <c r="N980" s="52"/>
      <c r="O980" s="53" t="s">
        <v>1627</v>
      </c>
      <c r="P980" s="53" t="s">
        <v>1524</v>
      </c>
      <c r="Q980" s="52"/>
      <c r="R980" s="52"/>
      <c r="S980" s="54"/>
      <c r="T980" s="52"/>
      <c r="U980" s="54">
        <f t="shared" si="65"/>
        <v>642857.14285714284</v>
      </c>
      <c r="V980" s="54">
        <f t="shared" si="66"/>
        <v>720000</v>
      </c>
      <c r="W980" s="52"/>
      <c r="X980" s="52">
        <v>2012</v>
      </c>
      <c r="Y980" s="52"/>
    </row>
    <row r="981" spans="2:25" s="55" customFormat="1" ht="76.5" outlineLevel="1">
      <c r="B981" s="52" t="s">
        <v>495</v>
      </c>
      <c r="C981" s="78" t="s">
        <v>246</v>
      </c>
      <c r="D981" s="52" t="s">
        <v>317</v>
      </c>
      <c r="E981" s="56" t="s">
        <v>220</v>
      </c>
      <c r="F981" s="56" t="s">
        <v>1536</v>
      </c>
      <c r="G981" s="56"/>
      <c r="H981" s="52" t="s">
        <v>243</v>
      </c>
      <c r="I981" s="52">
        <v>100</v>
      </c>
      <c r="J981" s="52">
        <v>390000000</v>
      </c>
      <c r="K981" s="56" t="s">
        <v>121</v>
      </c>
      <c r="L981" s="53" t="s">
        <v>2183</v>
      </c>
      <c r="M981" s="56" t="s">
        <v>121</v>
      </c>
      <c r="N981" s="52"/>
      <c r="O981" s="53" t="s">
        <v>2183</v>
      </c>
      <c r="P981" s="53" t="s">
        <v>1524</v>
      </c>
      <c r="Q981" s="52"/>
      <c r="R981" s="52"/>
      <c r="S981" s="54"/>
      <c r="T981" s="52"/>
      <c r="U981" s="54">
        <f t="shared" si="65"/>
        <v>642857.14285714284</v>
      </c>
      <c r="V981" s="54">
        <f t="shared" si="66"/>
        <v>720000</v>
      </c>
      <c r="W981" s="52"/>
      <c r="X981" s="52">
        <v>2012</v>
      </c>
      <c r="Y981" s="52"/>
    </row>
    <row r="982" spans="2:25" s="55" customFormat="1" ht="63.75" outlineLevel="1">
      <c r="B982" s="52" t="s">
        <v>496</v>
      </c>
      <c r="C982" s="78" t="s">
        <v>246</v>
      </c>
      <c r="D982" s="52" t="s">
        <v>317</v>
      </c>
      <c r="E982" s="56" t="s">
        <v>220</v>
      </c>
      <c r="F982" s="56" t="s">
        <v>1536</v>
      </c>
      <c r="G982" s="56"/>
      <c r="H982" s="52" t="s">
        <v>243</v>
      </c>
      <c r="I982" s="52">
        <v>100</v>
      </c>
      <c r="J982" s="52">
        <v>430000000</v>
      </c>
      <c r="K982" s="56" t="s">
        <v>122</v>
      </c>
      <c r="L982" s="53" t="s">
        <v>1627</v>
      </c>
      <c r="M982" s="56" t="s">
        <v>122</v>
      </c>
      <c r="N982" s="52"/>
      <c r="O982" s="53" t="s">
        <v>1627</v>
      </c>
      <c r="P982" s="53" t="s">
        <v>1524</v>
      </c>
      <c r="Q982" s="52"/>
      <c r="R982" s="52"/>
      <c r="S982" s="54"/>
      <c r="T982" s="52"/>
      <c r="U982" s="54">
        <f t="shared" si="65"/>
        <v>642857.14285714284</v>
      </c>
      <c r="V982" s="54">
        <f t="shared" si="66"/>
        <v>720000</v>
      </c>
      <c r="W982" s="52"/>
      <c r="X982" s="52">
        <v>2012</v>
      </c>
      <c r="Y982" s="52"/>
    </row>
    <row r="983" spans="2:25" s="55" customFormat="1" ht="63.75" outlineLevel="1">
      <c r="B983" s="52" t="s">
        <v>497</v>
      </c>
      <c r="C983" s="78" t="s">
        <v>246</v>
      </c>
      <c r="D983" s="52" t="s">
        <v>317</v>
      </c>
      <c r="E983" s="56" t="s">
        <v>220</v>
      </c>
      <c r="F983" s="56" t="s">
        <v>1536</v>
      </c>
      <c r="G983" s="56"/>
      <c r="H983" s="52" t="s">
        <v>243</v>
      </c>
      <c r="I983" s="52">
        <v>100</v>
      </c>
      <c r="J983" s="52">
        <v>470000000</v>
      </c>
      <c r="K983" s="56" t="s">
        <v>123</v>
      </c>
      <c r="L983" s="53" t="s">
        <v>1627</v>
      </c>
      <c r="M983" s="56" t="s">
        <v>123</v>
      </c>
      <c r="N983" s="52"/>
      <c r="O983" s="53" t="s">
        <v>1627</v>
      </c>
      <c r="P983" s="53" t="s">
        <v>1524</v>
      </c>
      <c r="Q983" s="52"/>
      <c r="R983" s="52"/>
      <c r="S983" s="54"/>
      <c r="T983" s="52"/>
      <c r="U983" s="54">
        <f t="shared" si="65"/>
        <v>642857.14285714284</v>
      </c>
      <c r="V983" s="54">
        <f t="shared" si="66"/>
        <v>720000</v>
      </c>
      <c r="W983" s="52"/>
      <c r="X983" s="52">
        <v>2012</v>
      </c>
      <c r="Y983" s="52"/>
    </row>
    <row r="984" spans="2:25" s="55" customFormat="1" ht="63.75" outlineLevel="1">
      <c r="B984" s="52" t="s">
        <v>498</v>
      </c>
      <c r="C984" s="78" t="s">
        <v>246</v>
      </c>
      <c r="D984" s="52" t="s">
        <v>317</v>
      </c>
      <c r="E984" s="56" t="s">
        <v>220</v>
      </c>
      <c r="F984" s="56" t="s">
        <v>1536</v>
      </c>
      <c r="G984" s="56"/>
      <c r="H984" s="52" t="s">
        <v>243</v>
      </c>
      <c r="I984" s="52">
        <v>100</v>
      </c>
      <c r="J984" s="52">
        <v>550000000</v>
      </c>
      <c r="K984" s="56" t="s">
        <v>124</v>
      </c>
      <c r="L984" s="53" t="s">
        <v>1627</v>
      </c>
      <c r="M984" s="56" t="s">
        <v>124</v>
      </c>
      <c r="N984" s="52"/>
      <c r="O984" s="53" t="s">
        <v>1627</v>
      </c>
      <c r="P984" s="53" t="s">
        <v>1524</v>
      </c>
      <c r="Q984" s="52"/>
      <c r="R984" s="52"/>
      <c r="S984" s="54"/>
      <c r="T984" s="52"/>
      <c r="U984" s="54">
        <f t="shared" si="65"/>
        <v>642857.14285714284</v>
      </c>
      <c r="V984" s="54">
        <f t="shared" si="66"/>
        <v>720000</v>
      </c>
      <c r="W984" s="52"/>
      <c r="X984" s="52">
        <v>2012</v>
      </c>
      <c r="Y984" s="52"/>
    </row>
    <row r="985" spans="2:25" s="55" customFormat="1" ht="63.75" outlineLevel="1">
      <c r="B985" s="52" t="s">
        <v>499</v>
      </c>
      <c r="C985" s="78" t="s">
        <v>246</v>
      </c>
      <c r="D985" s="52" t="s">
        <v>317</v>
      </c>
      <c r="E985" s="56" t="s">
        <v>220</v>
      </c>
      <c r="F985" s="56" t="s">
        <v>1536</v>
      </c>
      <c r="G985" s="56"/>
      <c r="H985" s="52" t="s">
        <v>243</v>
      </c>
      <c r="I985" s="52">
        <v>100</v>
      </c>
      <c r="J985" s="52">
        <v>590000000</v>
      </c>
      <c r="K985" s="56" t="s">
        <v>103</v>
      </c>
      <c r="L985" s="53" t="s">
        <v>1627</v>
      </c>
      <c r="M985" s="56" t="s">
        <v>103</v>
      </c>
      <c r="N985" s="52"/>
      <c r="O985" s="53" t="s">
        <v>1627</v>
      </c>
      <c r="P985" s="53" t="s">
        <v>1524</v>
      </c>
      <c r="Q985" s="52"/>
      <c r="R985" s="52"/>
      <c r="S985" s="54"/>
      <c r="T985" s="52"/>
      <c r="U985" s="54">
        <f t="shared" si="65"/>
        <v>642857.14285714284</v>
      </c>
      <c r="V985" s="54">
        <f t="shared" si="66"/>
        <v>720000</v>
      </c>
      <c r="W985" s="52"/>
      <c r="X985" s="52">
        <v>2012</v>
      </c>
      <c r="Y985" s="52"/>
    </row>
    <row r="986" spans="2:25" s="55" customFormat="1" ht="63.75" outlineLevel="1">
      <c r="B986" s="52" t="s">
        <v>500</v>
      </c>
      <c r="C986" s="78" t="s">
        <v>246</v>
      </c>
      <c r="D986" s="52" t="s">
        <v>317</v>
      </c>
      <c r="E986" s="56" t="s">
        <v>220</v>
      </c>
      <c r="F986" s="56" t="s">
        <v>1536</v>
      </c>
      <c r="G986" s="56"/>
      <c r="H986" s="52" t="s">
        <v>243</v>
      </c>
      <c r="I986" s="52">
        <v>100</v>
      </c>
      <c r="J986" s="52">
        <v>510000000</v>
      </c>
      <c r="K986" s="63" t="s">
        <v>104</v>
      </c>
      <c r="L986" s="53" t="s">
        <v>1627</v>
      </c>
      <c r="M986" s="63" t="s">
        <v>104</v>
      </c>
      <c r="N986" s="52"/>
      <c r="O986" s="53" t="s">
        <v>1627</v>
      </c>
      <c r="P986" s="53" t="s">
        <v>1524</v>
      </c>
      <c r="Q986" s="52"/>
      <c r="R986" s="52"/>
      <c r="S986" s="54"/>
      <c r="T986" s="52"/>
      <c r="U986" s="54">
        <f t="shared" si="65"/>
        <v>642857.14285714284</v>
      </c>
      <c r="V986" s="54">
        <f t="shared" si="66"/>
        <v>720000</v>
      </c>
      <c r="W986" s="52"/>
      <c r="X986" s="52">
        <v>2012</v>
      </c>
      <c r="Y986" s="52"/>
    </row>
    <row r="987" spans="2:25" s="55" customFormat="1" ht="51" outlineLevel="1">
      <c r="B987" s="52" t="s">
        <v>501</v>
      </c>
      <c r="C987" s="78" t="s">
        <v>246</v>
      </c>
      <c r="D987" s="52" t="s">
        <v>338</v>
      </c>
      <c r="E987" s="56" t="s">
        <v>221</v>
      </c>
      <c r="F987" s="53" t="s">
        <v>1597</v>
      </c>
      <c r="G987" s="53"/>
      <c r="H987" s="52" t="s">
        <v>243</v>
      </c>
      <c r="I987" s="52">
        <v>100</v>
      </c>
      <c r="J987" s="52">
        <v>110000000</v>
      </c>
      <c r="K987" s="56" t="s">
        <v>125</v>
      </c>
      <c r="L987" s="53" t="s">
        <v>1627</v>
      </c>
      <c r="M987" s="56" t="s">
        <v>125</v>
      </c>
      <c r="N987" s="52"/>
      <c r="O987" s="53" t="s">
        <v>1627</v>
      </c>
      <c r="P987" s="53" t="s">
        <v>1524</v>
      </c>
      <c r="Q987" s="52"/>
      <c r="R987" s="52"/>
      <c r="S987" s="54"/>
      <c r="T987" s="52"/>
      <c r="U987" s="54">
        <f t="shared" si="65"/>
        <v>361607.14285714284</v>
      </c>
      <c r="V987" s="54">
        <f>33750*12</f>
        <v>405000</v>
      </c>
      <c r="W987" s="52"/>
      <c r="X987" s="52">
        <v>2012</v>
      </c>
      <c r="Y987" s="52"/>
    </row>
    <row r="988" spans="2:25" s="55" customFormat="1" ht="51" outlineLevel="1">
      <c r="B988" s="52" t="s">
        <v>502</v>
      </c>
      <c r="C988" s="78" t="s">
        <v>246</v>
      </c>
      <c r="D988" s="52" t="s">
        <v>338</v>
      </c>
      <c r="E988" s="56" t="s">
        <v>221</v>
      </c>
      <c r="F988" s="53" t="s">
        <v>1597</v>
      </c>
      <c r="G988" s="53"/>
      <c r="H988" s="52" t="s">
        <v>243</v>
      </c>
      <c r="I988" s="52">
        <v>100</v>
      </c>
      <c r="J988" s="52">
        <v>150000000</v>
      </c>
      <c r="K988" s="56" t="s">
        <v>126</v>
      </c>
      <c r="L988" s="53" t="s">
        <v>1627</v>
      </c>
      <c r="M988" s="56" t="s">
        <v>126</v>
      </c>
      <c r="N988" s="52"/>
      <c r="O988" s="53" t="s">
        <v>1627</v>
      </c>
      <c r="P988" s="53" t="s">
        <v>1524</v>
      </c>
      <c r="Q988" s="52"/>
      <c r="R988" s="52"/>
      <c r="S988" s="54"/>
      <c r="T988" s="52"/>
      <c r="U988" s="54">
        <f t="shared" si="65"/>
        <v>361607.14285714284</v>
      </c>
      <c r="V988" s="54">
        <f t="shared" ref="V988:V1002" si="67">33750*12</f>
        <v>405000</v>
      </c>
      <c r="W988" s="52"/>
      <c r="X988" s="52">
        <v>2012</v>
      </c>
      <c r="Y988" s="52"/>
    </row>
    <row r="989" spans="2:25" s="55" customFormat="1" ht="51" outlineLevel="1">
      <c r="B989" s="52" t="s">
        <v>503</v>
      </c>
      <c r="C989" s="78" t="s">
        <v>246</v>
      </c>
      <c r="D989" s="52" t="s">
        <v>338</v>
      </c>
      <c r="E989" s="56" t="s">
        <v>221</v>
      </c>
      <c r="F989" s="53" t="s">
        <v>1597</v>
      </c>
      <c r="G989" s="53"/>
      <c r="H989" s="52" t="s">
        <v>243</v>
      </c>
      <c r="I989" s="52">
        <v>100</v>
      </c>
      <c r="J989" s="52">
        <v>190000000</v>
      </c>
      <c r="K989" s="56" t="s">
        <v>117</v>
      </c>
      <c r="L989" s="53" t="s">
        <v>1627</v>
      </c>
      <c r="M989" s="56" t="s">
        <v>117</v>
      </c>
      <c r="N989" s="52"/>
      <c r="O989" s="53" t="s">
        <v>1627</v>
      </c>
      <c r="P989" s="53" t="s">
        <v>1524</v>
      </c>
      <c r="Q989" s="52"/>
      <c r="R989" s="52"/>
      <c r="S989" s="54"/>
      <c r="T989" s="52"/>
      <c r="U989" s="54">
        <f t="shared" si="65"/>
        <v>361607.14285714284</v>
      </c>
      <c r="V989" s="54">
        <f t="shared" si="67"/>
        <v>405000</v>
      </c>
      <c r="W989" s="52"/>
      <c r="X989" s="52">
        <v>2012</v>
      </c>
      <c r="Y989" s="52"/>
    </row>
    <row r="990" spans="2:25" s="55" customFormat="1" ht="51" outlineLevel="1">
      <c r="B990" s="52" t="s">
        <v>504</v>
      </c>
      <c r="C990" s="78" t="s">
        <v>246</v>
      </c>
      <c r="D990" s="52" t="s">
        <v>338</v>
      </c>
      <c r="E990" s="56" t="s">
        <v>221</v>
      </c>
      <c r="F990" s="53" t="s">
        <v>1597</v>
      </c>
      <c r="G990" s="53"/>
      <c r="H990" s="52" t="s">
        <v>243</v>
      </c>
      <c r="I990" s="52">
        <v>100</v>
      </c>
      <c r="J990" s="52">
        <v>751000000</v>
      </c>
      <c r="K990" s="63" t="s">
        <v>1437</v>
      </c>
      <c r="L990" s="53" t="s">
        <v>2182</v>
      </c>
      <c r="M990" s="63" t="s">
        <v>1437</v>
      </c>
      <c r="N990" s="52"/>
      <c r="O990" s="53" t="s">
        <v>2182</v>
      </c>
      <c r="P990" s="53" t="s">
        <v>1524</v>
      </c>
      <c r="Q990" s="52"/>
      <c r="R990" s="52"/>
      <c r="S990" s="54"/>
      <c r="T990" s="52"/>
      <c r="U990" s="54">
        <f t="shared" si="65"/>
        <v>0</v>
      </c>
      <c r="V990" s="54">
        <f>405000-405000</f>
        <v>0</v>
      </c>
      <c r="W990" s="52"/>
      <c r="X990" s="52">
        <v>2012</v>
      </c>
      <c r="Y990" s="52"/>
    </row>
    <row r="991" spans="2:25" s="55" customFormat="1" ht="51" outlineLevel="1">
      <c r="B991" s="52" t="s">
        <v>505</v>
      </c>
      <c r="C991" s="78" t="s">
        <v>246</v>
      </c>
      <c r="D991" s="52" t="s">
        <v>338</v>
      </c>
      <c r="E991" s="56" t="s">
        <v>221</v>
      </c>
      <c r="F991" s="53" t="s">
        <v>1597</v>
      </c>
      <c r="G991" s="53"/>
      <c r="H991" s="52" t="s">
        <v>243</v>
      </c>
      <c r="I991" s="52">
        <v>100</v>
      </c>
      <c r="J991" s="52">
        <v>711000000</v>
      </c>
      <c r="K991" s="56" t="s">
        <v>151</v>
      </c>
      <c r="L991" s="53" t="s">
        <v>1627</v>
      </c>
      <c r="M991" s="53" t="s">
        <v>1816</v>
      </c>
      <c r="N991" s="52"/>
      <c r="O991" s="53" t="s">
        <v>1627</v>
      </c>
      <c r="P991" s="53" t="s">
        <v>1524</v>
      </c>
      <c r="Q991" s="52"/>
      <c r="R991" s="52"/>
      <c r="S991" s="54"/>
      <c r="T991" s="52"/>
      <c r="U991" s="54">
        <f t="shared" si="65"/>
        <v>361607.14285714284</v>
      </c>
      <c r="V991" s="54">
        <f t="shared" si="67"/>
        <v>405000</v>
      </c>
      <c r="W991" s="52"/>
      <c r="X991" s="52">
        <v>2012</v>
      </c>
      <c r="Y991" s="52"/>
    </row>
    <row r="992" spans="2:25" s="55" customFormat="1" ht="51" outlineLevel="1">
      <c r="B992" s="52" t="s">
        <v>506</v>
      </c>
      <c r="C992" s="78" t="s">
        <v>246</v>
      </c>
      <c r="D992" s="52" t="s">
        <v>338</v>
      </c>
      <c r="E992" s="56" t="s">
        <v>221</v>
      </c>
      <c r="F992" s="53" t="s">
        <v>1597</v>
      </c>
      <c r="G992" s="53"/>
      <c r="H992" s="52" t="s">
        <v>243</v>
      </c>
      <c r="I992" s="52">
        <v>100</v>
      </c>
      <c r="J992" s="52">
        <v>230000000</v>
      </c>
      <c r="K992" s="56" t="s">
        <v>118</v>
      </c>
      <c r="L992" s="53" t="s">
        <v>1627</v>
      </c>
      <c r="M992" s="56" t="s">
        <v>118</v>
      </c>
      <c r="N992" s="52"/>
      <c r="O992" s="53" t="s">
        <v>1627</v>
      </c>
      <c r="P992" s="53" t="s">
        <v>1524</v>
      </c>
      <c r="Q992" s="52"/>
      <c r="R992" s="52"/>
      <c r="S992" s="54"/>
      <c r="T992" s="52"/>
      <c r="U992" s="54">
        <f t="shared" si="65"/>
        <v>361607.14285714284</v>
      </c>
      <c r="V992" s="54">
        <f t="shared" si="67"/>
        <v>405000</v>
      </c>
      <c r="W992" s="52"/>
      <c r="X992" s="52">
        <v>2012</v>
      </c>
      <c r="Y992" s="54"/>
    </row>
    <row r="993" spans="2:25" s="55" customFormat="1" ht="51" outlineLevel="1">
      <c r="B993" s="52" t="s">
        <v>507</v>
      </c>
      <c r="C993" s="78" t="s">
        <v>246</v>
      </c>
      <c r="D993" s="52" t="s">
        <v>338</v>
      </c>
      <c r="E993" s="56" t="s">
        <v>221</v>
      </c>
      <c r="F993" s="53" t="s">
        <v>1597</v>
      </c>
      <c r="G993" s="53"/>
      <c r="H993" s="52" t="s">
        <v>243</v>
      </c>
      <c r="I993" s="52">
        <v>100</v>
      </c>
      <c r="J993" s="52">
        <v>630000000</v>
      </c>
      <c r="K993" s="56" t="s">
        <v>97</v>
      </c>
      <c r="L993" s="53" t="s">
        <v>1627</v>
      </c>
      <c r="M993" s="56" t="s">
        <v>97</v>
      </c>
      <c r="N993" s="52"/>
      <c r="O993" s="53" t="s">
        <v>1627</v>
      </c>
      <c r="P993" s="53" t="s">
        <v>1524</v>
      </c>
      <c r="Q993" s="52"/>
      <c r="R993" s="52"/>
      <c r="S993" s="54"/>
      <c r="T993" s="52"/>
      <c r="U993" s="54">
        <f t="shared" si="65"/>
        <v>361607.14285714284</v>
      </c>
      <c r="V993" s="54">
        <f t="shared" si="67"/>
        <v>405000</v>
      </c>
      <c r="W993" s="52"/>
      <c r="X993" s="52">
        <v>2012</v>
      </c>
      <c r="Y993" s="52"/>
    </row>
    <row r="994" spans="2:25" s="55" customFormat="1" ht="51" outlineLevel="1">
      <c r="B994" s="52" t="s">
        <v>508</v>
      </c>
      <c r="C994" s="78" t="s">
        <v>246</v>
      </c>
      <c r="D994" s="52" t="s">
        <v>338</v>
      </c>
      <c r="E994" s="56" t="s">
        <v>221</v>
      </c>
      <c r="F994" s="53" t="s">
        <v>1597</v>
      </c>
      <c r="G994" s="53"/>
      <c r="H994" s="52" t="s">
        <v>243</v>
      </c>
      <c r="I994" s="52">
        <v>100</v>
      </c>
      <c r="J994" s="52">
        <v>310000000</v>
      </c>
      <c r="K994" s="56" t="s">
        <v>119</v>
      </c>
      <c r="L994" s="53" t="s">
        <v>1627</v>
      </c>
      <c r="M994" s="56" t="s">
        <v>119</v>
      </c>
      <c r="N994" s="52"/>
      <c r="O994" s="53" t="s">
        <v>2179</v>
      </c>
      <c r="P994" s="53" t="s">
        <v>1524</v>
      </c>
      <c r="Q994" s="52"/>
      <c r="R994" s="52"/>
      <c r="S994" s="54"/>
      <c r="T994" s="52"/>
      <c r="U994" s="54">
        <f t="shared" si="65"/>
        <v>361607.14285714284</v>
      </c>
      <c r="V994" s="54">
        <v>405000</v>
      </c>
      <c r="W994" s="52"/>
      <c r="X994" s="52">
        <v>2012</v>
      </c>
      <c r="Y994" s="52"/>
    </row>
    <row r="995" spans="2:25" s="55" customFormat="1" ht="51" outlineLevel="1">
      <c r="B995" s="52" t="s">
        <v>509</v>
      </c>
      <c r="C995" s="78" t="s">
        <v>246</v>
      </c>
      <c r="D995" s="52" t="s">
        <v>338</v>
      </c>
      <c r="E995" s="56" t="s">
        <v>221</v>
      </c>
      <c r="F995" s="53" t="s">
        <v>1597</v>
      </c>
      <c r="G995" s="53"/>
      <c r="H995" s="52" t="s">
        <v>243</v>
      </c>
      <c r="I995" s="52">
        <v>100</v>
      </c>
      <c r="J995" s="52">
        <v>270000000</v>
      </c>
      <c r="K995" s="56" t="s">
        <v>98</v>
      </c>
      <c r="L995" s="53" t="s">
        <v>1627</v>
      </c>
      <c r="M995" s="56" t="s">
        <v>98</v>
      </c>
      <c r="N995" s="52"/>
      <c r="O995" s="53" t="s">
        <v>1627</v>
      </c>
      <c r="P995" s="53" t="s">
        <v>1524</v>
      </c>
      <c r="Q995" s="52"/>
      <c r="R995" s="52"/>
      <c r="S995" s="54"/>
      <c r="T995" s="52"/>
      <c r="U995" s="54">
        <f t="shared" si="65"/>
        <v>361607.14285714284</v>
      </c>
      <c r="V995" s="54">
        <f>33750*12</f>
        <v>405000</v>
      </c>
      <c r="W995" s="52"/>
      <c r="X995" s="52">
        <v>2012</v>
      </c>
      <c r="Y995" s="52"/>
    </row>
    <row r="996" spans="2:25" s="55" customFormat="1" ht="51" outlineLevel="1">
      <c r="B996" s="52" t="s">
        <v>510</v>
      </c>
      <c r="C996" s="78" t="s">
        <v>246</v>
      </c>
      <c r="D996" s="52" t="s">
        <v>338</v>
      </c>
      <c r="E996" s="56" t="s">
        <v>221</v>
      </c>
      <c r="F996" s="53" t="s">
        <v>1597</v>
      </c>
      <c r="G996" s="53"/>
      <c r="H996" s="52" t="s">
        <v>243</v>
      </c>
      <c r="I996" s="52">
        <v>100</v>
      </c>
      <c r="J996" s="52">
        <v>350000000</v>
      </c>
      <c r="K996" s="56" t="s">
        <v>120</v>
      </c>
      <c r="L996" s="53" t="s">
        <v>1627</v>
      </c>
      <c r="M996" s="56" t="s">
        <v>120</v>
      </c>
      <c r="N996" s="52"/>
      <c r="O996" s="53" t="s">
        <v>1627</v>
      </c>
      <c r="P996" s="53" t="s">
        <v>1524</v>
      </c>
      <c r="Q996" s="52"/>
      <c r="R996" s="52"/>
      <c r="S996" s="54"/>
      <c r="T996" s="52"/>
      <c r="U996" s="54">
        <f t="shared" si="65"/>
        <v>361607.14285714284</v>
      </c>
      <c r="V996" s="54">
        <f t="shared" si="67"/>
        <v>405000</v>
      </c>
      <c r="W996" s="52"/>
      <c r="X996" s="52">
        <v>2012</v>
      </c>
      <c r="Y996" s="52"/>
    </row>
    <row r="997" spans="2:25" s="55" customFormat="1" ht="76.5" outlineLevel="1">
      <c r="B997" s="52" t="s">
        <v>511</v>
      </c>
      <c r="C997" s="78" t="s">
        <v>246</v>
      </c>
      <c r="D997" s="52" t="s">
        <v>338</v>
      </c>
      <c r="E997" s="56" t="s">
        <v>221</v>
      </c>
      <c r="F997" s="53" t="s">
        <v>1597</v>
      </c>
      <c r="G997" s="53"/>
      <c r="H997" s="52" t="s">
        <v>243</v>
      </c>
      <c r="I997" s="52">
        <v>100</v>
      </c>
      <c r="J997" s="52">
        <v>390000000</v>
      </c>
      <c r="K997" s="56" t="s">
        <v>121</v>
      </c>
      <c r="L997" s="53" t="s">
        <v>2183</v>
      </c>
      <c r="M997" s="56" t="s">
        <v>121</v>
      </c>
      <c r="N997" s="52"/>
      <c r="O997" s="53" t="s">
        <v>2183</v>
      </c>
      <c r="P997" s="53" t="s">
        <v>1524</v>
      </c>
      <c r="Q997" s="52"/>
      <c r="R997" s="52"/>
      <c r="S997" s="54"/>
      <c r="T997" s="52"/>
      <c r="U997" s="54">
        <f t="shared" si="65"/>
        <v>361607.14285714284</v>
      </c>
      <c r="V997" s="54">
        <f t="shared" si="67"/>
        <v>405000</v>
      </c>
      <c r="W997" s="52"/>
      <c r="X997" s="52">
        <v>2012</v>
      </c>
      <c r="Y997" s="52"/>
    </row>
    <row r="998" spans="2:25" s="55" customFormat="1" ht="51" outlineLevel="1">
      <c r="B998" s="52" t="s">
        <v>1666</v>
      </c>
      <c r="C998" s="78" t="s">
        <v>246</v>
      </c>
      <c r="D998" s="52" t="s">
        <v>338</v>
      </c>
      <c r="E998" s="56" t="s">
        <v>221</v>
      </c>
      <c r="F998" s="53" t="s">
        <v>1597</v>
      </c>
      <c r="G998" s="53"/>
      <c r="H998" s="52" t="s">
        <v>243</v>
      </c>
      <c r="I998" s="52">
        <v>100</v>
      </c>
      <c r="J998" s="52">
        <v>430000000</v>
      </c>
      <c r="K998" s="56" t="s">
        <v>122</v>
      </c>
      <c r="L998" s="53" t="s">
        <v>1627</v>
      </c>
      <c r="M998" s="56" t="s">
        <v>122</v>
      </c>
      <c r="N998" s="52"/>
      <c r="O998" s="53" t="s">
        <v>1627</v>
      </c>
      <c r="P998" s="53" t="s">
        <v>1524</v>
      </c>
      <c r="Q998" s="52"/>
      <c r="R998" s="52"/>
      <c r="S998" s="54"/>
      <c r="T998" s="52"/>
      <c r="U998" s="54">
        <f t="shared" si="65"/>
        <v>361607.14285714284</v>
      </c>
      <c r="V998" s="54">
        <f t="shared" si="67"/>
        <v>405000</v>
      </c>
      <c r="W998" s="52"/>
      <c r="X998" s="52">
        <v>2012</v>
      </c>
      <c r="Y998" s="52"/>
    </row>
    <row r="999" spans="2:25" s="55" customFormat="1" ht="51" outlineLevel="1">
      <c r="B999" s="52" t="s">
        <v>512</v>
      </c>
      <c r="C999" s="78" t="s">
        <v>246</v>
      </c>
      <c r="D999" s="52" t="s">
        <v>338</v>
      </c>
      <c r="E999" s="56" t="s">
        <v>221</v>
      </c>
      <c r="F999" s="53" t="s">
        <v>1597</v>
      </c>
      <c r="G999" s="53"/>
      <c r="H999" s="52" t="s">
        <v>243</v>
      </c>
      <c r="I999" s="52">
        <v>100</v>
      </c>
      <c r="J999" s="52">
        <v>470000000</v>
      </c>
      <c r="K999" s="56" t="s">
        <v>123</v>
      </c>
      <c r="L999" s="53" t="s">
        <v>1627</v>
      </c>
      <c r="M999" s="56" t="s">
        <v>123</v>
      </c>
      <c r="N999" s="52"/>
      <c r="O999" s="53" t="s">
        <v>1627</v>
      </c>
      <c r="P999" s="53" t="s">
        <v>1524</v>
      </c>
      <c r="Q999" s="52"/>
      <c r="R999" s="52"/>
      <c r="S999" s="54"/>
      <c r="T999" s="52"/>
      <c r="U999" s="54">
        <f t="shared" si="65"/>
        <v>361607.14285714284</v>
      </c>
      <c r="V999" s="54">
        <f t="shared" si="67"/>
        <v>405000</v>
      </c>
      <c r="W999" s="52"/>
      <c r="X999" s="52">
        <v>2012</v>
      </c>
      <c r="Y999" s="52"/>
    </row>
    <row r="1000" spans="2:25" s="55" customFormat="1" ht="51" outlineLevel="1">
      <c r="B1000" s="52" t="s">
        <v>513</v>
      </c>
      <c r="C1000" s="78" t="s">
        <v>246</v>
      </c>
      <c r="D1000" s="52" t="s">
        <v>338</v>
      </c>
      <c r="E1000" s="56" t="s">
        <v>221</v>
      </c>
      <c r="F1000" s="53" t="s">
        <v>1597</v>
      </c>
      <c r="G1000" s="53"/>
      <c r="H1000" s="52" t="s">
        <v>243</v>
      </c>
      <c r="I1000" s="52">
        <v>100</v>
      </c>
      <c r="J1000" s="52">
        <v>550000000</v>
      </c>
      <c r="K1000" s="56" t="s">
        <v>124</v>
      </c>
      <c r="L1000" s="53" t="s">
        <v>1627</v>
      </c>
      <c r="M1000" s="56" t="s">
        <v>124</v>
      </c>
      <c r="N1000" s="52"/>
      <c r="O1000" s="53" t="s">
        <v>1627</v>
      </c>
      <c r="P1000" s="53" t="s">
        <v>1524</v>
      </c>
      <c r="Q1000" s="52"/>
      <c r="R1000" s="52"/>
      <c r="S1000" s="54"/>
      <c r="T1000" s="52"/>
      <c r="U1000" s="54">
        <f t="shared" si="65"/>
        <v>361607.14285714284</v>
      </c>
      <c r="V1000" s="54">
        <f t="shared" si="67"/>
        <v>405000</v>
      </c>
      <c r="W1000" s="52"/>
      <c r="X1000" s="52">
        <v>2012</v>
      </c>
      <c r="Y1000" s="52"/>
    </row>
    <row r="1001" spans="2:25" s="55" customFormat="1" ht="51" outlineLevel="1">
      <c r="B1001" s="52" t="s">
        <v>514</v>
      </c>
      <c r="C1001" s="78" t="s">
        <v>246</v>
      </c>
      <c r="D1001" s="52" t="s">
        <v>338</v>
      </c>
      <c r="E1001" s="56" t="s">
        <v>221</v>
      </c>
      <c r="F1001" s="53" t="s">
        <v>1597</v>
      </c>
      <c r="G1001" s="53"/>
      <c r="H1001" s="52" t="s">
        <v>243</v>
      </c>
      <c r="I1001" s="52">
        <v>100</v>
      </c>
      <c r="J1001" s="52">
        <v>590000000</v>
      </c>
      <c r="K1001" s="56" t="s">
        <v>103</v>
      </c>
      <c r="L1001" s="53" t="s">
        <v>1627</v>
      </c>
      <c r="M1001" s="56" t="s">
        <v>103</v>
      </c>
      <c r="N1001" s="52"/>
      <c r="O1001" s="53" t="s">
        <v>1627</v>
      </c>
      <c r="P1001" s="53" t="s">
        <v>1524</v>
      </c>
      <c r="Q1001" s="52"/>
      <c r="R1001" s="52"/>
      <c r="S1001" s="54"/>
      <c r="T1001" s="52"/>
      <c r="U1001" s="54">
        <f t="shared" si="65"/>
        <v>361607.14285714284</v>
      </c>
      <c r="V1001" s="54">
        <f t="shared" si="67"/>
        <v>405000</v>
      </c>
      <c r="W1001" s="52"/>
      <c r="X1001" s="52">
        <v>2012</v>
      </c>
      <c r="Y1001" s="52"/>
    </row>
    <row r="1002" spans="2:25" s="55" customFormat="1" ht="51" outlineLevel="1">
      <c r="B1002" s="52" t="s">
        <v>515</v>
      </c>
      <c r="C1002" s="78" t="s">
        <v>246</v>
      </c>
      <c r="D1002" s="52" t="s">
        <v>338</v>
      </c>
      <c r="E1002" s="56" t="s">
        <v>221</v>
      </c>
      <c r="F1002" s="53" t="s">
        <v>1597</v>
      </c>
      <c r="G1002" s="53"/>
      <c r="H1002" s="52" t="s">
        <v>243</v>
      </c>
      <c r="I1002" s="52">
        <v>100</v>
      </c>
      <c r="J1002" s="52">
        <v>510000000</v>
      </c>
      <c r="K1002" s="63" t="s">
        <v>104</v>
      </c>
      <c r="L1002" s="53" t="s">
        <v>1627</v>
      </c>
      <c r="M1002" s="63" t="s">
        <v>104</v>
      </c>
      <c r="N1002" s="52"/>
      <c r="O1002" s="53" t="s">
        <v>1627</v>
      </c>
      <c r="P1002" s="53" t="s">
        <v>1524</v>
      </c>
      <c r="Q1002" s="52"/>
      <c r="R1002" s="52"/>
      <c r="S1002" s="54"/>
      <c r="T1002" s="52"/>
      <c r="U1002" s="54">
        <f t="shared" si="65"/>
        <v>361607.14285714284</v>
      </c>
      <c r="V1002" s="54">
        <f t="shared" si="67"/>
        <v>405000</v>
      </c>
      <c r="W1002" s="52"/>
      <c r="X1002" s="52">
        <v>2012</v>
      </c>
      <c r="Y1002" s="52"/>
    </row>
    <row r="1003" spans="2:25" s="55" customFormat="1" ht="178.5" outlineLevel="1">
      <c r="B1003" s="52" t="s">
        <v>516</v>
      </c>
      <c r="C1003" s="78" t="s">
        <v>246</v>
      </c>
      <c r="D1003" s="52" t="s">
        <v>315</v>
      </c>
      <c r="E1003" s="56" t="s">
        <v>169</v>
      </c>
      <c r="F1003" s="53" t="s">
        <v>1566</v>
      </c>
      <c r="G1003" s="53"/>
      <c r="H1003" s="52" t="s">
        <v>242</v>
      </c>
      <c r="I1003" s="52">
        <v>100</v>
      </c>
      <c r="J1003" s="52">
        <v>751000000</v>
      </c>
      <c r="K1003" s="53" t="s">
        <v>2290</v>
      </c>
      <c r="L1003" s="56" t="s">
        <v>2313</v>
      </c>
      <c r="M1003" s="53" t="s">
        <v>1624</v>
      </c>
      <c r="N1003" s="52"/>
      <c r="O1003" s="56" t="s">
        <v>2314</v>
      </c>
      <c r="P1003" s="53" t="s">
        <v>1567</v>
      </c>
      <c r="Q1003" s="52"/>
      <c r="R1003" s="52"/>
      <c r="S1003" s="54"/>
      <c r="T1003" s="54" t="s">
        <v>1754</v>
      </c>
      <c r="U1003" s="54">
        <f t="shared" si="65"/>
        <v>0</v>
      </c>
      <c r="V1003" s="54">
        <f>5000000-790000-2096640-2113360</f>
        <v>0</v>
      </c>
      <c r="W1003" s="52"/>
      <c r="X1003" s="52">
        <v>2012</v>
      </c>
      <c r="Y1003" s="52"/>
    </row>
    <row r="1004" spans="2:25" s="55" customFormat="1" ht="178.5" outlineLevel="1">
      <c r="B1004" s="52" t="s">
        <v>517</v>
      </c>
      <c r="C1004" s="78" t="s">
        <v>246</v>
      </c>
      <c r="D1004" s="52" t="s">
        <v>315</v>
      </c>
      <c r="E1004" s="56" t="s">
        <v>169</v>
      </c>
      <c r="F1004" s="53" t="s">
        <v>1566</v>
      </c>
      <c r="G1004" s="53"/>
      <c r="H1004" s="52" t="s">
        <v>242</v>
      </c>
      <c r="I1004" s="52">
        <v>100</v>
      </c>
      <c r="J1004" s="52">
        <v>751000000</v>
      </c>
      <c r="K1004" s="53" t="s">
        <v>2290</v>
      </c>
      <c r="L1004" s="56" t="s">
        <v>2313</v>
      </c>
      <c r="M1004" s="53" t="s">
        <v>1624</v>
      </c>
      <c r="N1004" s="52"/>
      <c r="O1004" s="56" t="s">
        <v>2314</v>
      </c>
      <c r="P1004" s="53" t="s">
        <v>1567</v>
      </c>
      <c r="Q1004" s="52"/>
      <c r="R1004" s="52"/>
      <c r="S1004" s="54"/>
      <c r="T1004" s="54" t="s">
        <v>1754</v>
      </c>
      <c r="U1004" s="54">
        <f t="shared" si="65"/>
        <v>0</v>
      </c>
      <c r="V1004" s="54">
        <v>0</v>
      </c>
      <c r="W1004" s="52"/>
      <c r="X1004" s="52">
        <v>2012</v>
      </c>
      <c r="Y1004" s="52">
        <v>21</v>
      </c>
    </row>
    <row r="1005" spans="2:25" s="55" customFormat="1" ht="178.5" outlineLevel="1">
      <c r="B1005" s="52" t="s">
        <v>2724</v>
      </c>
      <c r="C1005" s="78" t="s">
        <v>246</v>
      </c>
      <c r="D1005" s="52" t="s">
        <v>315</v>
      </c>
      <c r="E1005" s="56" t="s">
        <v>169</v>
      </c>
      <c r="F1005" s="53" t="s">
        <v>1566</v>
      </c>
      <c r="G1005" s="53"/>
      <c r="H1005" s="52" t="s">
        <v>242</v>
      </c>
      <c r="I1005" s="52">
        <v>100</v>
      </c>
      <c r="J1005" s="52">
        <v>751000000</v>
      </c>
      <c r="K1005" s="53" t="s">
        <v>2290</v>
      </c>
      <c r="L1005" s="56" t="s">
        <v>2313</v>
      </c>
      <c r="M1005" s="53" t="s">
        <v>1624</v>
      </c>
      <c r="N1005" s="52"/>
      <c r="O1005" s="56" t="s">
        <v>2314</v>
      </c>
      <c r="P1005" s="53" t="s">
        <v>1567</v>
      </c>
      <c r="Q1005" s="52"/>
      <c r="R1005" s="52"/>
      <c r="S1005" s="54"/>
      <c r="T1005" s="54" t="s">
        <v>1754</v>
      </c>
      <c r="U1005" s="54">
        <f t="shared" si="65"/>
        <v>3288714.2857142854</v>
      </c>
      <c r="V1005" s="54">
        <f>5000000-430000-886640</f>
        <v>3683360</v>
      </c>
      <c r="W1005" s="52"/>
      <c r="X1005" s="52">
        <v>2012</v>
      </c>
      <c r="Y1005" s="52"/>
    </row>
    <row r="1006" spans="2:25" s="55" customFormat="1" ht="178.5" outlineLevel="1">
      <c r="B1006" s="52" t="s">
        <v>518</v>
      </c>
      <c r="C1006" s="78" t="s">
        <v>246</v>
      </c>
      <c r="D1006" s="57" t="s">
        <v>315</v>
      </c>
      <c r="E1006" s="56" t="s">
        <v>169</v>
      </c>
      <c r="F1006" s="53" t="s">
        <v>1566</v>
      </c>
      <c r="G1006" s="53"/>
      <c r="H1006" s="52" t="s">
        <v>242</v>
      </c>
      <c r="I1006" s="52">
        <v>100</v>
      </c>
      <c r="J1006" s="52">
        <v>751000000</v>
      </c>
      <c r="K1006" s="53" t="s">
        <v>2064</v>
      </c>
      <c r="L1006" s="56" t="s">
        <v>2313</v>
      </c>
      <c r="M1006" s="53" t="s">
        <v>1624</v>
      </c>
      <c r="N1006" s="52"/>
      <c r="O1006" s="56" t="s">
        <v>2314</v>
      </c>
      <c r="P1006" s="53" t="s">
        <v>1567</v>
      </c>
      <c r="Q1006" s="52"/>
      <c r="R1006" s="52"/>
      <c r="S1006" s="54"/>
      <c r="T1006" s="54" t="s">
        <v>1754</v>
      </c>
      <c r="U1006" s="54">
        <f t="shared" si="65"/>
        <v>3571428.5714285718</v>
      </c>
      <c r="V1006" s="54">
        <v>4000000</v>
      </c>
      <c r="W1006" s="52"/>
      <c r="X1006" s="52">
        <v>2012</v>
      </c>
      <c r="Y1006" s="52"/>
    </row>
    <row r="1007" spans="2:25" s="55" customFormat="1" ht="102" outlineLevel="1">
      <c r="B1007" s="52" t="s">
        <v>519</v>
      </c>
      <c r="C1007" s="78" t="s">
        <v>246</v>
      </c>
      <c r="D1007" s="52" t="s">
        <v>316</v>
      </c>
      <c r="E1007" s="56" t="s">
        <v>170</v>
      </c>
      <c r="F1007" s="56" t="s">
        <v>1568</v>
      </c>
      <c r="G1007" s="56"/>
      <c r="H1007" s="57" t="s">
        <v>245</v>
      </c>
      <c r="I1007" s="57">
        <v>90</v>
      </c>
      <c r="J1007" s="52">
        <v>751000000</v>
      </c>
      <c r="K1007" s="53" t="s">
        <v>2290</v>
      </c>
      <c r="L1007" s="52" t="s">
        <v>1502</v>
      </c>
      <c r="M1007" s="53" t="s">
        <v>2290</v>
      </c>
      <c r="N1007" s="52"/>
      <c r="O1007" s="52" t="s">
        <v>2439</v>
      </c>
      <c r="P1007" s="53" t="s">
        <v>1567</v>
      </c>
      <c r="Q1007" s="52"/>
      <c r="R1007" s="52"/>
      <c r="S1007" s="54"/>
      <c r="T1007" s="52"/>
      <c r="U1007" s="54">
        <f t="shared" si="65"/>
        <v>3571428.5714285718</v>
      </c>
      <c r="V1007" s="54">
        <v>4000000</v>
      </c>
      <c r="W1007" s="52"/>
      <c r="X1007" s="52">
        <v>2012</v>
      </c>
      <c r="Y1007" s="52"/>
    </row>
    <row r="1008" spans="2:25" s="55" customFormat="1" ht="127.5" outlineLevel="1">
      <c r="B1008" s="52" t="s">
        <v>520</v>
      </c>
      <c r="C1008" s="78" t="s">
        <v>246</v>
      </c>
      <c r="D1008" s="52" t="s">
        <v>316</v>
      </c>
      <c r="E1008" s="56" t="s">
        <v>222</v>
      </c>
      <c r="F1008" s="56" t="s">
        <v>222</v>
      </c>
      <c r="G1008" s="56"/>
      <c r="H1008" s="53" t="s">
        <v>243</v>
      </c>
      <c r="I1008" s="52">
        <v>50</v>
      </c>
      <c r="J1008" s="52">
        <v>751000000</v>
      </c>
      <c r="K1008" s="53" t="s">
        <v>2290</v>
      </c>
      <c r="L1008" s="53" t="s">
        <v>1732</v>
      </c>
      <c r="M1008" s="53" t="s">
        <v>2290</v>
      </c>
      <c r="N1008" s="52"/>
      <c r="O1008" s="53" t="s">
        <v>1733</v>
      </c>
      <c r="P1008" s="53" t="s">
        <v>1475</v>
      </c>
      <c r="Q1008" s="52"/>
      <c r="R1008" s="52"/>
      <c r="S1008" s="54"/>
      <c r="T1008" s="52"/>
      <c r="U1008" s="54">
        <f t="shared" si="65"/>
        <v>1339285.7142857143</v>
      </c>
      <c r="V1008" s="54">
        <v>1500000</v>
      </c>
      <c r="W1008" s="52"/>
      <c r="X1008" s="52">
        <v>2012</v>
      </c>
      <c r="Y1008" s="52"/>
    </row>
    <row r="1009" spans="2:25" s="55" customFormat="1" ht="127.5" outlineLevel="1">
      <c r="B1009" s="52" t="s">
        <v>521</v>
      </c>
      <c r="C1009" s="78" t="s">
        <v>246</v>
      </c>
      <c r="D1009" s="52" t="s">
        <v>298</v>
      </c>
      <c r="E1009" s="56" t="s">
        <v>1848</v>
      </c>
      <c r="F1009" s="56" t="s">
        <v>2146</v>
      </c>
      <c r="G1009" s="56"/>
      <c r="H1009" s="52" t="s">
        <v>243</v>
      </c>
      <c r="I1009" s="52">
        <v>50</v>
      </c>
      <c r="J1009" s="52">
        <v>751000000</v>
      </c>
      <c r="K1009" s="53" t="s">
        <v>2290</v>
      </c>
      <c r="L1009" s="52" t="s">
        <v>1471</v>
      </c>
      <c r="M1009" s="53" t="s">
        <v>2290</v>
      </c>
      <c r="N1009" s="52"/>
      <c r="O1009" s="53" t="s">
        <v>1979</v>
      </c>
      <c r="P1009" s="53" t="s">
        <v>1475</v>
      </c>
      <c r="Q1009" s="52"/>
      <c r="R1009" s="52"/>
      <c r="S1009" s="54">
        <v>1</v>
      </c>
      <c r="T1009" s="52"/>
      <c r="U1009" s="54">
        <f t="shared" si="65"/>
        <v>1017857.142857143</v>
      </c>
      <c r="V1009" s="54">
        <v>1140000</v>
      </c>
      <c r="W1009" s="52"/>
      <c r="X1009" s="52">
        <v>2012</v>
      </c>
      <c r="Y1009" s="52"/>
    </row>
    <row r="1010" spans="2:25" s="55" customFormat="1" ht="63.75" outlineLevel="1">
      <c r="B1010" s="52" t="s">
        <v>522</v>
      </c>
      <c r="C1010" s="78" t="s">
        <v>246</v>
      </c>
      <c r="D1010" s="52" t="s">
        <v>304</v>
      </c>
      <c r="E1010" s="56" t="s">
        <v>1577</v>
      </c>
      <c r="F1010" s="53" t="s">
        <v>1576</v>
      </c>
      <c r="G1010" s="53"/>
      <c r="H1010" s="52" t="s">
        <v>243</v>
      </c>
      <c r="I1010" s="52">
        <v>100</v>
      </c>
      <c r="J1010" s="52">
        <v>751000000</v>
      </c>
      <c r="K1010" s="53" t="s">
        <v>2290</v>
      </c>
      <c r="L1010" s="53" t="s">
        <v>2427</v>
      </c>
      <c r="M1010" s="53" t="s">
        <v>2290</v>
      </c>
      <c r="N1010" s="52"/>
      <c r="O1010" s="53" t="s">
        <v>2176</v>
      </c>
      <c r="P1010" s="53" t="s">
        <v>1547</v>
      </c>
      <c r="Q1010" s="52"/>
      <c r="R1010" s="52"/>
      <c r="S1010" s="54"/>
      <c r="T1010" s="52"/>
      <c r="U1010" s="54">
        <f t="shared" si="65"/>
        <v>18098607.142857142</v>
      </c>
      <c r="V1010" s="54">
        <v>20270440</v>
      </c>
      <c r="W1010" s="52"/>
      <c r="X1010" s="52">
        <v>2012</v>
      </c>
      <c r="Y1010" s="52"/>
    </row>
    <row r="1011" spans="2:25" s="55" customFormat="1" ht="63.75" outlineLevel="1">
      <c r="B1011" s="52" t="s">
        <v>523</v>
      </c>
      <c r="C1011" s="78" t="s">
        <v>246</v>
      </c>
      <c r="D1011" s="52" t="s">
        <v>304</v>
      </c>
      <c r="E1011" s="56" t="s">
        <v>1577</v>
      </c>
      <c r="F1011" s="53" t="s">
        <v>1576</v>
      </c>
      <c r="G1011" s="53"/>
      <c r="H1011" s="52" t="s">
        <v>243</v>
      </c>
      <c r="I1011" s="52">
        <v>100</v>
      </c>
      <c r="J1011" s="52">
        <v>110000000</v>
      </c>
      <c r="K1011" s="56" t="s">
        <v>125</v>
      </c>
      <c r="L1011" s="53" t="s">
        <v>2427</v>
      </c>
      <c r="M1011" s="56" t="s">
        <v>125</v>
      </c>
      <c r="N1011" s="52"/>
      <c r="O1011" s="53" t="s">
        <v>1627</v>
      </c>
      <c r="P1011" s="53" t="s">
        <v>1547</v>
      </c>
      <c r="Q1011" s="52"/>
      <c r="R1011" s="52"/>
      <c r="S1011" s="54"/>
      <c r="T1011" s="52"/>
      <c r="U1011" s="54">
        <f t="shared" si="65"/>
        <v>446428.57142857148</v>
      </c>
      <c r="V1011" s="54">
        <v>500000</v>
      </c>
      <c r="W1011" s="52"/>
      <c r="X1011" s="52">
        <v>2012</v>
      </c>
      <c r="Y1011" s="52"/>
    </row>
    <row r="1012" spans="2:25" s="55" customFormat="1" ht="63.75" outlineLevel="1">
      <c r="B1012" s="52" t="s">
        <v>524</v>
      </c>
      <c r="C1012" s="78" t="s">
        <v>246</v>
      </c>
      <c r="D1012" s="52" t="s">
        <v>304</v>
      </c>
      <c r="E1012" s="56" t="s">
        <v>1577</v>
      </c>
      <c r="F1012" s="53" t="s">
        <v>1576</v>
      </c>
      <c r="G1012" s="53"/>
      <c r="H1012" s="52" t="s">
        <v>243</v>
      </c>
      <c r="I1012" s="52">
        <v>100</v>
      </c>
      <c r="J1012" s="52">
        <v>150000000</v>
      </c>
      <c r="K1012" s="56" t="s">
        <v>126</v>
      </c>
      <c r="L1012" s="53" t="s">
        <v>2427</v>
      </c>
      <c r="M1012" s="56" t="s">
        <v>126</v>
      </c>
      <c r="N1012" s="52"/>
      <c r="O1012" s="53" t="s">
        <v>1627</v>
      </c>
      <c r="P1012" s="53" t="s">
        <v>1547</v>
      </c>
      <c r="Q1012" s="52"/>
      <c r="R1012" s="52"/>
      <c r="S1012" s="54"/>
      <c r="T1012" s="52"/>
      <c r="U1012" s="54">
        <f t="shared" si="65"/>
        <v>446428.57142857148</v>
      </c>
      <c r="V1012" s="54">
        <v>500000</v>
      </c>
      <c r="W1012" s="52"/>
      <c r="X1012" s="52">
        <v>2012</v>
      </c>
      <c r="Y1012" s="52"/>
    </row>
    <row r="1013" spans="2:25" s="55" customFormat="1" ht="63.75" outlineLevel="1">
      <c r="B1013" s="52" t="s">
        <v>525</v>
      </c>
      <c r="C1013" s="78" t="s">
        <v>246</v>
      </c>
      <c r="D1013" s="52" t="s">
        <v>304</v>
      </c>
      <c r="E1013" s="56" t="s">
        <v>1577</v>
      </c>
      <c r="F1013" s="53" t="s">
        <v>1576</v>
      </c>
      <c r="G1013" s="53"/>
      <c r="H1013" s="52" t="s">
        <v>243</v>
      </c>
      <c r="I1013" s="52">
        <v>100</v>
      </c>
      <c r="J1013" s="52">
        <v>190000000</v>
      </c>
      <c r="K1013" s="56" t="s">
        <v>117</v>
      </c>
      <c r="L1013" s="53" t="s">
        <v>2427</v>
      </c>
      <c r="M1013" s="56" t="s">
        <v>117</v>
      </c>
      <c r="N1013" s="52"/>
      <c r="O1013" s="53" t="s">
        <v>1627</v>
      </c>
      <c r="P1013" s="53" t="s">
        <v>1547</v>
      </c>
      <c r="Q1013" s="52"/>
      <c r="R1013" s="52"/>
      <c r="S1013" s="54"/>
      <c r="T1013" s="52"/>
      <c r="U1013" s="54">
        <f t="shared" si="65"/>
        <v>446428.57142857148</v>
      </c>
      <c r="V1013" s="54">
        <v>500000</v>
      </c>
      <c r="W1013" s="52"/>
      <c r="X1013" s="52">
        <v>2012</v>
      </c>
      <c r="Y1013" s="52"/>
    </row>
    <row r="1014" spans="2:25" s="55" customFormat="1" ht="63.75" outlineLevel="1">
      <c r="B1014" s="52" t="s">
        <v>526</v>
      </c>
      <c r="C1014" s="78" t="s">
        <v>246</v>
      </c>
      <c r="D1014" s="52" t="s">
        <v>304</v>
      </c>
      <c r="E1014" s="56" t="s">
        <v>1577</v>
      </c>
      <c r="F1014" s="53" t="s">
        <v>1576</v>
      </c>
      <c r="G1014" s="53"/>
      <c r="H1014" s="52" t="s">
        <v>243</v>
      </c>
      <c r="I1014" s="52">
        <v>100</v>
      </c>
      <c r="J1014" s="52">
        <v>751000000</v>
      </c>
      <c r="K1014" s="63" t="s">
        <v>1437</v>
      </c>
      <c r="L1014" s="53" t="s">
        <v>2427</v>
      </c>
      <c r="M1014" s="63" t="s">
        <v>1437</v>
      </c>
      <c r="N1014" s="52"/>
      <c r="O1014" s="53" t="s">
        <v>2182</v>
      </c>
      <c r="P1014" s="53" t="s">
        <v>1547</v>
      </c>
      <c r="Q1014" s="52"/>
      <c r="R1014" s="52"/>
      <c r="S1014" s="54"/>
      <c r="T1014" s="52"/>
      <c r="U1014" s="54">
        <f t="shared" si="65"/>
        <v>446428.57142857148</v>
      </c>
      <c r="V1014" s="54">
        <v>500000</v>
      </c>
      <c r="W1014" s="52"/>
      <c r="X1014" s="52">
        <v>2012</v>
      </c>
      <c r="Y1014" s="52"/>
    </row>
    <row r="1015" spans="2:25" s="55" customFormat="1" ht="63.75" outlineLevel="1">
      <c r="B1015" s="52" t="s">
        <v>527</v>
      </c>
      <c r="C1015" s="78" t="s">
        <v>246</v>
      </c>
      <c r="D1015" s="52" t="s">
        <v>304</v>
      </c>
      <c r="E1015" s="56" t="s">
        <v>1577</v>
      </c>
      <c r="F1015" s="53" t="s">
        <v>1576</v>
      </c>
      <c r="G1015" s="53"/>
      <c r="H1015" s="52" t="s">
        <v>243</v>
      </c>
      <c r="I1015" s="52">
        <v>100</v>
      </c>
      <c r="J1015" s="52">
        <v>711000000</v>
      </c>
      <c r="K1015" s="56" t="s">
        <v>151</v>
      </c>
      <c r="L1015" s="53" t="s">
        <v>2427</v>
      </c>
      <c r="M1015" s="53" t="s">
        <v>1816</v>
      </c>
      <c r="N1015" s="52"/>
      <c r="O1015" s="53" t="s">
        <v>1627</v>
      </c>
      <c r="P1015" s="53" t="s">
        <v>1547</v>
      </c>
      <c r="Q1015" s="52"/>
      <c r="R1015" s="52"/>
      <c r="S1015" s="54"/>
      <c r="T1015" s="52"/>
      <c r="U1015" s="54">
        <f t="shared" si="65"/>
        <v>446428.57142857148</v>
      </c>
      <c r="V1015" s="54">
        <v>500000</v>
      </c>
      <c r="W1015" s="52"/>
      <c r="X1015" s="52">
        <v>2012</v>
      </c>
      <c r="Y1015" s="52"/>
    </row>
    <row r="1016" spans="2:25" s="55" customFormat="1" ht="63.75" outlineLevel="1">
      <c r="B1016" s="52" t="s">
        <v>528</v>
      </c>
      <c r="C1016" s="78" t="s">
        <v>246</v>
      </c>
      <c r="D1016" s="52" t="s">
        <v>304</v>
      </c>
      <c r="E1016" s="56" t="s">
        <v>1577</v>
      </c>
      <c r="F1016" s="53" t="s">
        <v>1576</v>
      </c>
      <c r="G1016" s="53"/>
      <c r="H1016" s="52" t="s">
        <v>243</v>
      </c>
      <c r="I1016" s="52">
        <v>100</v>
      </c>
      <c r="J1016" s="52">
        <v>230000000</v>
      </c>
      <c r="K1016" s="56" t="s">
        <v>118</v>
      </c>
      <c r="L1016" s="53" t="s">
        <v>2427</v>
      </c>
      <c r="M1016" s="56" t="s">
        <v>118</v>
      </c>
      <c r="N1016" s="52"/>
      <c r="O1016" s="53" t="s">
        <v>1627</v>
      </c>
      <c r="P1016" s="53" t="s">
        <v>1547</v>
      </c>
      <c r="Q1016" s="52"/>
      <c r="R1016" s="52"/>
      <c r="S1016" s="54"/>
      <c r="T1016" s="52"/>
      <c r="U1016" s="54">
        <f t="shared" si="65"/>
        <v>446428.57142857148</v>
      </c>
      <c r="V1016" s="54">
        <v>500000</v>
      </c>
      <c r="W1016" s="52"/>
      <c r="X1016" s="52">
        <v>2012</v>
      </c>
      <c r="Y1016" s="52"/>
    </row>
    <row r="1017" spans="2:25" s="55" customFormat="1" ht="63.75" outlineLevel="1">
      <c r="B1017" s="52" t="s">
        <v>529</v>
      </c>
      <c r="C1017" s="78" t="s">
        <v>246</v>
      </c>
      <c r="D1017" s="52" t="s">
        <v>304</v>
      </c>
      <c r="E1017" s="56" t="s">
        <v>1577</v>
      </c>
      <c r="F1017" s="53" t="s">
        <v>1576</v>
      </c>
      <c r="G1017" s="53"/>
      <c r="H1017" s="52" t="s">
        <v>243</v>
      </c>
      <c r="I1017" s="52">
        <v>100</v>
      </c>
      <c r="J1017" s="52">
        <v>630000000</v>
      </c>
      <c r="K1017" s="56" t="s">
        <v>97</v>
      </c>
      <c r="L1017" s="53" t="s">
        <v>2427</v>
      </c>
      <c r="M1017" s="56" t="s">
        <v>97</v>
      </c>
      <c r="N1017" s="52"/>
      <c r="O1017" s="53" t="s">
        <v>1627</v>
      </c>
      <c r="P1017" s="53" t="s">
        <v>1547</v>
      </c>
      <c r="Q1017" s="52"/>
      <c r="R1017" s="52"/>
      <c r="S1017" s="54"/>
      <c r="T1017" s="52"/>
      <c r="U1017" s="54">
        <f t="shared" si="65"/>
        <v>446428.57142857148</v>
      </c>
      <c r="V1017" s="54">
        <v>500000</v>
      </c>
      <c r="W1017" s="52"/>
      <c r="X1017" s="52">
        <v>2012</v>
      </c>
      <c r="Y1017" s="52"/>
    </row>
    <row r="1018" spans="2:25" s="55" customFormat="1" ht="63.75" outlineLevel="1">
      <c r="B1018" s="52" t="s">
        <v>530</v>
      </c>
      <c r="C1018" s="78" t="s">
        <v>246</v>
      </c>
      <c r="D1018" s="52" t="s">
        <v>304</v>
      </c>
      <c r="E1018" s="56" t="s">
        <v>1577</v>
      </c>
      <c r="F1018" s="53" t="s">
        <v>1576</v>
      </c>
      <c r="G1018" s="53"/>
      <c r="H1018" s="52" t="s">
        <v>243</v>
      </c>
      <c r="I1018" s="52">
        <v>100</v>
      </c>
      <c r="J1018" s="52">
        <v>310000000</v>
      </c>
      <c r="K1018" s="56" t="s">
        <v>119</v>
      </c>
      <c r="L1018" s="53" t="s">
        <v>2427</v>
      </c>
      <c r="M1018" s="56" t="s">
        <v>119</v>
      </c>
      <c r="N1018" s="52"/>
      <c r="O1018" s="53" t="s">
        <v>1627</v>
      </c>
      <c r="P1018" s="53" t="s">
        <v>1547</v>
      </c>
      <c r="Q1018" s="52"/>
      <c r="R1018" s="52"/>
      <c r="S1018" s="54"/>
      <c r="T1018" s="52"/>
      <c r="U1018" s="54">
        <f t="shared" si="65"/>
        <v>446428.57142857148</v>
      </c>
      <c r="V1018" s="54">
        <v>500000</v>
      </c>
      <c r="W1018" s="52"/>
      <c r="X1018" s="52">
        <v>2012</v>
      </c>
      <c r="Y1018" s="52"/>
    </row>
    <row r="1019" spans="2:25" s="55" customFormat="1" ht="63.75" outlineLevel="1">
      <c r="B1019" s="52" t="s">
        <v>531</v>
      </c>
      <c r="C1019" s="78" t="s">
        <v>246</v>
      </c>
      <c r="D1019" s="52" t="s">
        <v>304</v>
      </c>
      <c r="E1019" s="56" t="s">
        <v>1577</v>
      </c>
      <c r="F1019" s="53" t="s">
        <v>1576</v>
      </c>
      <c r="G1019" s="53"/>
      <c r="H1019" s="52" t="s">
        <v>243</v>
      </c>
      <c r="I1019" s="52">
        <v>100</v>
      </c>
      <c r="J1019" s="52">
        <v>270000000</v>
      </c>
      <c r="K1019" s="56" t="s">
        <v>98</v>
      </c>
      <c r="L1019" s="53" t="s">
        <v>2427</v>
      </c>
      <c r="M1019" s="56" t="s">
        <v>98</v>
      </c>
      <c r="N1019" s="52"/>
      <c r="O1019" s="53" t="s">
        <v>1627</v>
      </c>
      <c r="P1019" s="53" t="s">
        <v>1547</v>
      </c>
      <c r="Q1019" s="52"/>
      <c r="R1019" s="52"/>
      <c r="S1019" s="54"/>
      <c r="T1019" s="52"/>
      <c r="U1019" s="54">
        <f t="shared" si="65"/>
        <v>446428.57142857148</v>
      </c>
      <c r="V1019" s="54">
        <v>500000</v>
      </c>
      <c r="W1019" s="52"/>
      <c r="X1019" s="52">
        <v>2012</v>
      </c>
      <c r="Y1019" s="52"/>
    </row>
    <row r="1020" spans="2:25" s="55" customFormat="1" ht="63.75" outlineLevel="1">
      <c r="B1020" s="52" t="s">
        <v>532</v>
      </c>
      <c r="C1020" s="78" t="s">
        <v>246</v>
      </c>
      <c r="D1020" s="52" t="s">
        <v>304</v>
      </c>
      <c r="E1020" s="56" t="s">
        <v>1577</v>
      </c>
      <c r="F1020" s="53" t="s">
        <v>1576</v>
      </c>
      <c r="G1020" s="53"/>
      <c r="H1020" s="52" t="s">
        <v>243</v>
      </c>
      <c r="I1020" s="52">
        <v>100</v>
      </c>
      <c r="J1020" s="52">
        <v>350000000</v>
      </c>
      <c r="K1020" s="56" t="s">
        <v>120</v>
      </c>
      <c r="L1020" s="53" t="s">
        <v>2427</v>
      </c>
      <c r="M1020" s="56" t="s">
        <v>120</v>
      </c>
      <c r="N1020" s="52"/>
      <c r="O1020" s="53" t="s">
        <v>1627</v>
      </c>
      <c r="P1020" s="53" t="s">
        <v>1547</v>
      </c>
      <c r="Q1020" s="52"/>
      <c r="R1020" s="52"/>
      <c r="S1020" s="54"/>
      <c r="T1020" s="52"/>
      <c r="U1020" s="54">
        <f t="shared" si="65"/>
        <v>446428.57142857148</v>
      </c>
      <c r="V1020" s="54">
        <v>500000</v>
      </c>
      <c r="W1020" s="52"/>
      <c r="X1020" s="52">
        <v>2012</v>
      </c>
      <c r="Y1020" s="52"/>
    </row>
    <row r="1021" spans="2:25" s="55" customFormat="1" ht="76.5" outlineLevel="1">
      <c r="B1021" s="52" t="s">
        <v>533</v>
      </c>
      <c r="C1021" s="78" t="s">
        <v>246</v>
      </c>
      <c r="D1021" s="52" t="s">
        <v>304</v>
      </c>
      <c r="E1021" s="56" t="s">
        <v>1577</v>
      </c>
      <c r="F1021" s="53" t="s">
        <v>1576</v>
      </c>
      <c r="G1021" s="53"/>
      <c r="H1021" s="52" t="s">
        <v>243</v>
      </c>
      <c r="I1021" s="52">
        <v>100</v>
      </c>
      <c r="J1021" s="52">
        <v>390000000</v>
      </c>
      <c r="K1021" s="56" t="s">
        <v>121</v>
      </c>
      <c r="L1021" s="53" t="s">
        <v>2427</v>
      </c>
      <c r="M1021" s="56" t="s">
        <v>121</v>
      </c>
      <c r="N1021" s="52"/>
      <c r="O1021" s="53" t="s">
        <v>2183</v>
      </c>
      <c r="P1021" s="53" t="s">
        <v>1547</v>
      </c>
      <c r="Q1021" s="52"/>
      <c r="R1021" s="52"/>
      <c r="S1021" s="54"/>
      <c r="T1021" s="52"/>
      <c r="U1021" s="54">
        <f t="shared" si="65"/>
        <v>446428.57142857148</v>
      </c>
      <c r="V1021" s="54">
        <v>500000</v>
      </c>
      <c r="W1021" s="52"/>
      <c r="X1021" s="52">
        <v>2012</v>
      </c>
      <c r="Y1021" s="52"/>
    </row>
    <row r="1022" spans="2:25" s="55" customFormat="1" ht="63.75" outlineLevel="1">
      <c r="B1022" s="52" t="s">
        <v>534</v>
      </c>
      <c r="C1022" s="78" t="s">
        <v>246</v>
      </c>
      <c r="D1022" s="52" t="s">
        <v>304</v>
      </c>
      <c r="E1022" s="56" t="s">
        <v>1577</v>
      </c>
      <c r="F1022" s="53" t="s">
        <v>1576</v>
      </c>
      <c r="G1022" s="53"/>
      <c r="H1022" s="52" t="s">
        <v>243</v>
      </c>
      <c r="I1022" s="52">
        <v>100</v>
      </c>
      <c r="J1022" s="52">
        <v>430000000</v>
      </c>
      <c r="K1022" s="56" t="s">
        <v>122</v>
      </c>
      <c r="L1022" s="53" t="s">
        <v>2427</v>
      </c>
      <c r="M1022" s="56" t="s">
        <v>122</v>
      </c>
      <c r="N1022" s="52"/>
      <c r="O1022" s="53" t="s">
        <v>1627</v>
      </c>
      <c r="P1022" s="53" t="s">
        <v>1547</v>
      </c>
      <c r="Q1022" s="52"/>
      <c r="R1022" s="52"/>
      <c r="S1022" s="54"/>
      <c r="T1022" s="52"/>
      <c r="U1022" s="54">
        <f t="shared" si="65"/>
        <v>446428.57142857148</v>
      </c>
      <c r="V1022" s="54">
        <v>500000</v>
      </c>
      <c r="W1022" s="52"/>
      <c r="X1022" s="52">
        <v>2012</v>
      </c>
      <c r="Y1022" s="52"/>
    </row>
    <row r="1023" spans="2:25" s="55" customFormat="1" ht="63.75" outlineLevel="1">
      <c r="B1023" s="52" t="s">
        <v>535</v>
      </c>
      <c r="C1023" s="78" t="s">
        <v>246</v>
      </c>
      <c r="D1023" s="52" t="s">
        <v>304</v>
      </c>
      <c r="E1023" s="56" t="s">
        <v>1577</v>
      </c>
      <c r="F1023" s="53" t="s">
        <v>1576</v>
      </c>
      <c r="G1023" s="53"/>
      <c r="H1023" s="52" t="s">
        <v>243</v>
      </c>
      <c r="I1023" s="52">
        <v>100</v>
      </c>
      <c r="J1023" s="52">
        <v>470000000</v>
      </c>
      <c r="K1023" s="56" t="s">
        <v>123</v>
      </c>
      <c r="L1023" s="53" t="s">
        <v>2427</v>
      </c>
      <c r="M1023" s="56" t="s">
        <v>123</v>
      </c>
      <c r="N1023" s="52"/>
      <c r="O1023" s="53" t="s">
        <v>1627</v>
      </c>
      <c r="P1023" s="53" t="s">
        <v>1547</v>
      </c>
      <c r="Q1023" s="52"/>
      <c r="R1023" s="52"/>
      <c r="S1023" s="54"/>
      <c r="T1023" s="52"/>
      <c r="U1023" s="54">
        <f t="shared" si="65"/>
        <v>446428.57142857148</v>
      </c>
      <c r="V1023" s="54">
        <v>500000</v>
      </c>
      <c r="W1023" s="52"/>
      <c r="X1023" s="52">
        <v>2012</v>
      </c>
      <c r="Y1023" s="52"/>
    </row>
    <row r="1024" spans="2:25" s="55" customFormat="1" ht="63.75" outlineLevel="1">
      <c r="B1024" s="52" t="s">
        <v>536</v>
      </c>
      <c r="C1024" s="78" t="s">
        <v>246</v>
      </c>
      <c r="D1024" s="52" t="s">
        <v>304</v>
      </c>
      <c r="E1024" s="56" t="s">
        <v>1577</v>
      </c>
      <c r="F1024" s="53" t="s">
        <v>1576</v>
      </c>
      <c r="G1024" s="53"/>
      <c r="H1024" s="52" t="s">
        <v>243</v>
      </c>
      <c r="I1024" s="52">
        <v>100</v>
      </c>
      <c r="J1024" s="52">
        <v>550000000</v>
      </c>
      <c r="K1024" s="56" t="s">
        <v>124</v>
      </c>
      <c r="L1024" s="53" t="s">
        <v>2427</v>
      </c>
      <c r="M1024" s="56" t="s">
        <v>124</v>
      </c>
      <c r="N1024" s="52"/>
      <c r="O1024" s="53" t="s">
        <v>1627</v>
      </c>
      <c r="P1024" s="53" t="s">
        <v>1547</v>
      </c>
      <c r="Q1024" s="52"/>
      <c r="R1024" s="52"/>
      <c r="S1024" s="54"/>
      <c r="T1024" s="52"/>
      <c r="U1024" s="54">
        <f t="shared" si="65"/>
        <v>446428.57142857148</v>
      </c>
      <c r="V1024" s="54">
        <v>500000</v>
      </c>
      <c r="W1024" s="52"/>
      <c r="X1024" s="52">
        <v>2012</v>
      </c>
      <c r="Y1024" s="52"/>
    </row>
    <row r="1025" spans="2:25" s="55" customFormat="1" ht="63.75" outlineLevel="1">
      <c r="B1025" s="52" t="s">
        <v>537</v>
      </c>
      <c r="C1025" s="78" t="s">
        <v>246</v>
      </c>
      <c r="D1025" s="52" t="s">
        <v>304</v>
      </c>
      <c r="E1025" s="56" t="s">
        <v>1577</v>
      </c>
      <c r="F1025" s="53" t="s">
        <v>1576</v>
      </c>
      <c r="G1025" s="53"/>
      <c r="H1025" s="52" t="s">
        <v>243</v>
      </c>
      <c r="I1025" s="52">
        <v>100</v>
      </c>
      <c r="J1025" s="52">
        <v>590000000</v>
      </c>
      <c r="K1025" s="56" t="s">
        <v>103</v>
      </c>
      <c r="L1025" s="53" t="s">
        <v>2427</v>
      </c>
      <c r="M1025" s="56" t="s">
        <v>103</v>
      </c>
      <c r="N1025" s="52"/>
      <c r="O1025" s="53" t="s">
        <v>1627</v>
      </c>
      <c r="P1025" s="53" t="s">
        <v>1547</v>
      </c>
      <c r="Q1025" s="52"/>
      <c r="R1025" s="52"/>
      <c r="S1025" s="54"/>
      <c r="T1025" s="52"/>
      <c r="U1025" s="54">
        <f t="shared" si="65"/>
        <v>446428.57142857148</v>
      </c>
      <c r="V1025" s="54">
        <v>500000</v>
      </c>
      <c r="W1025" s="52"/>
      <c r="X1025" s="52">
        <v>2012</v>
      </c>
      <c r="Y1025" s="52"/>
    </row>
    <row r="1026" spans="2:25" s="55" customFormat="1" ht="63.75" outlineLevel="1">
      <c r="B1026" s="52" t="s">
        <v>538</v>
      </c>
      <c r="C1026" s="78" t="s">
        <v>246</v>
      </c>
      <c r="D1026" s="52" t="s">
        <v>304</v>
      </c>
      <c r="E1026" s="56" t="s">
        <v>1577</v>
      </c>
      <c r="F1026" s="53" t="s">
        <v>1576</v>
      </c>
      <c r="G1026" s="53"/>
      <c r="H1026" s="52" t="s">
        <v>243</v>
      </c>
      <c r="I1026" s="52">
        <v>100</v>
      </c>
      <c r="J1026" s="52">
        <v>510000000</v>
      </c>
      <c r="K1026" s="63" t="s">
        <v>104</v>
      </c>
      <c r="L1026" s="53" t="s">
        <v>2427</v>
      </c>
      <c r="M1026" s="63" t="s">
        <v>104</v>
      </c>
      <c r="N1026" s="52"/>
      <c r="O1026" s="53" t="s">
        <v>1627</v>
      </c>
      <c r="P1026" s="53" t="s">
        <v>1547</v>
      </c>
      <c r="Q1026" s="52"/>
      <c r="R1026" s="52"/>
      <c r="S1026" s="54"/>
      <c r="T1026" s="52"/>
      <c r="U1026" s="54">
        <f t="shared" si="65"/>
        <v>446428.57142857148</v>
      </c>
      <c r="V1026" s="54">
        <v>500000</v>
      </c>
      <c r="W1026" s="52"/>
      <c r="X1026" s="52">
        <v>2012</v>
      </c>
      <c r="Y1026" s="52"/>
    </row>
    <row r="1027" spans="2:25" s="55" customFormat="1" ht="114.75" outlineLevel="1">
      <c r="B1027" s="52" t="s">
        <v>539</v>
      </c>
      <c r="C1027" s="78" t="s">
        <v>246</v>
      </c>
      <c r="D1027" s="52" t="s">
        <v>304</v>
      </c>
      <c r="E1027" s="56" t="s">
        <v>1546</v>
      </c>
      <c r="F1027" s="53" t="s">
        <v>1575</v>
      </c>
      <c r="G1027" s="53"/>
      <c r="H1027" s="52" t="s">
        <v>243</v>
      </c>
      <c r="I1027" s="52">
        <v>75</v>
      </c>
      <c r="J1027" s="52">
        <v>110000000</v>
      </c>
      <c r="K1027" s="56" t="s">
        <v>125</v>
      </c>
      <c r="L1027" s="53" t="s">
        <v>1627</v>
      </c>
      <c r="M1027" s="56" t="s">
        <v>125</v>
      </c>
      <c r="N1027" s="52"/>
      <c r="O1027" s="53" t="s">
        <v>1627</v>
      </c>
      <c r="P1027" s="53" t="s">
        <v>1598</v>
      </c>
      <c r="Q1027" s="52"/>
      <c r="R1027" s="52"/>
      <c r="S1027" s="54"/>
      <c r="T1027" s="52"/>
      <c r="U1027" s="54">
        <f t="shared" si="65"/>
        <v>0</v>
      </c>
      <c r="V1027" s="54">
        <v>0</v>
      </c>
      <c r="W1027" s="52"/>
      <c r="X1027" s="52">
        <v>2012</v>
      </c>
      <c r="Y1027" s="52" t="s">
        <v>2590</v>
      </c>
    </row>
    <row r="1028" spans="2:25" s="55" customFormat="1" ht="114.75" outlineLevel="1">
      <c r="B1028" s="52" t="s">
        <v>2835</v>
      </c>
      <c r="C1028" s="78" t="s">
        <v>246</v>
      </c>
      <c r="D1028" s="52" t="s">
        <v>304</v>
      </c>
      <c r="E1028" s="56" t="s">
        <v>1546</v>
      </c>
      <c r="F1028" s="53" t="s">
        <v>2836</v>
      </c>
      <c r="G1028" s="53"/>
      <c r="H1028" s="52" t="s">
        <v>243</v>
      </c>
      <c r="I1028" s="52">
        <v>75</v>
      </c>
      <c r="J1028" s="52">
        <v>110000000</v>
      </c>
      <c r="K1028" s="56" t="s">
        <v>125</v>
      </c>
      <c r="L1028" s="53" t="s">
        <v>2837</v>
      </c>
      <c r="M1028" s="56" t="s">
        <v>125</v>
      </c>
      <c r="N1028" s="52"/>
      <c r="O1028" s="53" t="s">
        <v>2838</v>
      </c>
      <c r="P1028" s="53" t="s">
        <v>1598</v>
      </c>
      <c r="Q1028" s="52"/>
      <c r="R1028" s="52"/>
      <c r="S1028" s="54"/>
      <c r="T1028" s="52"/>
      <c r="U1028" s="54">
        <f t="shared" si="65"/>
        <v>569196.42857142852</v>
      </c>
      <c r="V1028" s="54">
        <f>450000+187500</f>
        <v>637500</v>
      </c>
      <c r="W1028" s="52"/>
      <c r="X1028" s="52">
        <v>2012</v>
      </c>
      <c r="Y1028" s="52"/>
    </row>
    <row r="1029" spans="2:25" s="55" customFormat="1" ht="114.75" outlineLevel="1">
      <c r="B1029" s="52" t="s">
        <v>540</v>
      </c>
      <c r="C1029" s="78" t="s">
        <v>246</v>
      </c>
      <c r="D1029" s="52" t="s">
        <v>304</v>
      </c>
      <c r="E1029" s="56" t="s">
        <v>1546</v>
      </c>
      <c r="F1029" s="53" t="s">
        <v>1575</v>
      </c>
      <c r="G1029" s="53"/>
      <c r="H1029" s="52" t="s">
        <v>243</v>
      </c>
      <c r="I1029" s="52">
        <v>75</v>
      </c>
      <c r="J1029" s="52">
        <v>150000000</v>
      </c>
      <c r="K1029" s="56" t="s">
        <v>126</v>
      </c>
      <c r="L1029" s="53" t="s">
        <v>1627</v>
      </c>
      <c r="M1029" s="56" t="s">
        <v>126</v>
      </c>
      <c r="N1029" s="52"/>
      <c r="O1029" s="53" t="s">
        <v>1627</v>
      </c>
      <c r="P1029" s="53" t="s">
        <v>1598</v>
      </c>
      <c r="Q1029" s="52"/>
      <c r="R1029" s="52"/>
      <c r="S1029" s="54"/>
      <c r="T1029" s="52"/>
      <c r="U1029" s="54">
        <f t="shared" si="65"/>
        <v>0</v>
      </c>
      <c r="V1029" s="54">
        <v>0</v>
      </c>
      <c r="W1029" s="52"/>
      <c r="X1029" s="52">
        <v>2012</v>
      </c>
      <c r="Y1029" s="52" t="s">
        <v>2590</v>
      </c>
    </row>
    <row r="1030" spans="2:25" s="55" customFormat="1" ht="114.75" outlineLevel="1">
      <c r="B1030" s="52" t="s">
        <v>2839</v>
      </c>
      <c r="C1030" s="78" t="s">
        <v>246</v>
      </c>
      <c r="D1030" s="52" t="s">
        <v>304</v>
      </c>
      <c r="E1030" s="56" t="s">
        <v>1546</v>
      </c>
      <c r="F1030" s="53" t="s">
        <v>2836</v>
      </c>
      <c r="G1030" s="53"/>
      <c r="H1030" s="52" t="s">
        <v>243</v>
      </c>
      <c r="I1030" s="52">
        <v>75</v>
      </c>
      <c r="J1030" s="52">
        <v>150000000</v>
      </c>
      <c r="K1030" s="56" t="s">
        <v>126</v>
      </c>
      <c r="L1030" s="53" t="s">
        <v>2837</v>
      </c>
      <c r="M1030" s="56" t="s">
        <v>126</v>
      </c>
      <c r="N1030" s="52"/>
      <c r="O1030" s="53" t="s">
        <v>2838</v>
      </c>
      <c r="P1030" s="53" t="s">
        <v>1598</v>
      </c>
      <c r="Q1030" s="52"/>
      <c r="R1030" s="52"/>
      <c r="S1030" s="54"/>
      <c r="T1030" s="52"/>
      <c r="U1030" s="54">
        <f t="shared" si="65"/>
        <v>569196.42857142852</v>
      </c>
      <c r="V1030" s="54">
        <f t="shared" ref="V1030:V1058" si="68">450000+187500</f>
        <v>637500</v>
      </c>
      <c r="W1030" s="52"/>
      <c r="X1030" s="52">
        <v>2012</v>
      </c>
      <c r="Y1030" s="52"/>
    </row>
    <row r="1031" spans="2:25" s="55" customFormat="1" ht="114.75" outlineLevel="1">
      <c r="B1031" s="52" t="s">
        <v>541</v>
      </c>
      <c r="C1031" s="78" t="s">
        <v>246</v>
      </c>
      <c r="D1031" s="52" t="s">
        <v>304</v>
      </c>
      <c r="E1031" s="56" t="s">
        <v>1546</v>
      </c>
      <c r="F1031" s="53" t="s">
        <v>1575</v>
      </c>
      <c r="G1031" s="53"/>
      <c r="H1031" s="52" t="s">
        <v>243</v>
      </c>
      <c r="I1031" s="52">
        <v>75</v>
      </c>
      <c r="J1031" s="52">
        <v>190000000</v>
      </c>
      <c r="K1031" s="56" t="s">
        <v>117</v>
      </c>
      <c r="L1031" s="53" t="s">
        <v>1627</v>
      </c>
      <c r="M1031" s="56" t="s">
        <v>117</v>
      </c>
      <c r="N1031" s="52"/>
      <c r="O1031" s="53" t="s">
        <v>1627</v>
      </c>
      <c r="P1031" s="53" t="s">
        <v>1598</v>
      </c>
      <c r="Q1031" s="52"/>
      <c r="R1031" s="52"/>
      <c r="S1031" s="54"/>
      <c r="T1031" s="52"/>
      <c r="U1031" s="54">
        <f t="shared" si="65"/>
        <v>0</v>
      </c>
      <c r="V1031" s="54">
        <v>0</v>
      </c>
      <c r="W1031" s="52"/>
      <c r="X1031" s="52">
        <v>2012</v>
      </c>
      <c r="Y1031" s="52" t="s">
        <v>2590</v>
      </c>
    </row>
    <row r="1032" spans="2:25" s="55" customFormat="1" ht="114.75" outlineLevel="1">
      <c r="B1032" s="52" t="s">
        <v>2840</v>
      </c>
      <c r="C1032" s="78" t="s">
        <v>246</v>
      </c>
      <c r="D1032" s="52" t="s">
        <v>304</v>
      </c>
      <c r="E1032" s="56" t="s">
        <v>1546</v>
      </c>
      <c r="F1032" s="53" t="s">
        <v>2836</v>
      </c>
      <c r="G1032" s="53"/>
      <c r="H1032" s="52" t="s">
        <v>243</v>
      </c>
      <c r="I1032" s="52">
        <v>75</v>
      </c>
      <c r="J1032" s="52">
        <v>190000000</v>
      </c>
      <c r="K1032" s="56" t="s">
        <v>117</v>
      </c>
      <c r="L1032" s="53" t="s">
        <v>2837</v>
      </c>
      <c r="M1032" s="56" t="s">
        <v>117</v>
      </c>
      <c r="N1032" s="52"/>
      <c r="O1032" s="53" t="s">
        <v>2838</v>
      </c>
      <c r="P1032" s="53" t="s">
        <v>1598</v>
      </c>
      <c r="Q1032" s="52"/>
      <c r="R1032" s="52"/>
      <c r="S1032" s="54"/>
      <c r="T1032" s="52"/>
      <c r="U1032" s="54">
        <f t="shared" si="65"/>
        <v>569196.42857142852</v>
      </c>
      <c r="V1032" s="54">
        <f t="shared" si="68"/>
        <v>637500</v>
      </c>
      <c r="W1032" s="52"/>
      <c r="X1032" s="52">
        <v>2012</v>
      </c>
      <c r="Y1032" s="52"/>
    </row>
    <row r="1033" spans="2:25" s="55" customFormat="1" ht="114.75" outlineLevel="1">
      <c r="B1033" s="52" t="s">
        <v>542</v>
      </c>
      <c r="C1033" s="78" t="s">
        <v>246</v>
      </c>
      <c r="D1033" s="52" t="s">
        <v>304</v>
      </c>
      <c r="E1033" s="56" t="s">
        <v>1546</v>
      </c>
      <c r="F1033" s="53" t="s">
        <v>1575</v>
      </c>
      <c r="G1033" s="53"/>
      <c r="H1033" s="52" t="s">
        <v>243</v>
      </c>
      <c r="I1033" s="52">
        <v>75</v>
      </c>
      <c r="J1033" s="52">
        <v>751000000</v>
      </c>
      <c r="K1033" s="63" t="s">
        <v>1437</v>
      </c>
      <c r="L1033" s="53" t="s">
        <v>2182</v>
      </c>
      <c r="M1033" s="63" t="s">
        <v>1437</v>
      </c>
      <c r="N1033" s="52"/>
      <c r="O1033" s="53" t="s">
        <v>2182</v>
      </c>
      <c r="P1033" s="53" t="s">
        <v>1598</v>
      </c>
      <c r="Q1033" s="52"/>
      <c r="R1033" s="52"/>
      <c r="S1033" s="54"/>
      <c r="T1033" s="52"/>
      <c r="U1033" s="54">
        <f t="shared" si="65"/>
        <v>0</v>
      </c>
      <c r="V1033" s="54">
        <v>0</v>
      </c>
      <c r="W1033" s="52"/>
      <c r="X1033" s="52">
        <v>2012</v>
      </c>
      <c r="Y1033" s="52" t="s">
        <v>2590</v>
      </c>
    </row>
    <row r="1034" spans="2:25" s="55" customFormat="1" ht="114.75" outlineLevel="1">
      <c r="B1034" s="52" t="s">
        <v>2841</v>
      </c>
      <c r="C1034" s="78" t="s">
        <v>246</v>
      </c>
      <c r="D1034" s="52" t="s">
        <v>304</v>
      </c>
      <c r="E1034" s="56" t="s">
        <v>1546</v>
      </c>
      <c r="F1034" s="53" t="s">
        <v>2836</v>
      </c>
      <c r="G1034" s="53"/>
      <c r="H1034" s="52" t="s">
        <v>243</v>
      </c>
      <c r="I1034" s="52">
        <v>75</v>
      </c>
      <c r="J1034" s="52">
        <v>751000000</v>
      </c>
      <c r="K1034" s="63" t="s">
        <v>1437</v>
      </c>
      <c r="L1034" s="53" t="s">
        <v>2182</v>
      </c>
      <c r="M1034" s="63" t="s">
        <v>1437</v>
      </c>
      <c r="N1034" s="52"/>
      <c r="O1034" s="53" t="s">
        <v>2182</v>
      </c>
      <c r="P1034" s="53" t="s">
        <v>1598</v>
      </c>
      <c r="Q1034" s="52"/>
      <c r="R1034" s="52"/>
      <c r="S1034" s="54"/>
      <c r="T1034" s="52"/>
      <c r="U1034" s="54">
        <f t="shared" si="65"/>
        <v>569196.42857142852</v>
      </c>
      <c r="V1034" s="54">
        <f t="shared" si="68"/>
        <v>637500</v>
      </c>
      <c r="W1034" s="52"/>
      <c r="X1034" s="52">
        <v>2012</v>
      </c>
      <c r="Y1034" s="52"/>
    </row>
    <row r="1035" spans="2:25" s="55" customFormat="1" ht="114.75" outlineLevel="1">
      <c r="B1035" s="52" t="s">
        <v>543</v>
      </c>
      <c r="C1035" s="78" t="s">
        <v>246</v>
      </c>
      <c r="D1035" s="52" t="s">
        <v>304</v>
      </c>
      <c r="E1035" s="56" t="s">
        <v>1546</v>
      </c>
      <c r="F1035" s="53" t="s">
        <v>2306</v>
      </c>
      <c r="G1035" s="53"/>
      <c r="H1035" s="52" t="s">
        <v>243</v>
      </c>
      <c r="I1035" s="52">
        <v>75</v>
      </c>
      <c r="J1035" s="52">
        <v>711000000</v>
      </c>
      <c r="K1035" s="56" t="s">
        <v>151</v>
      </c>
      <c r="L1035" s="53" t="s">
        <v>1627</v>
      </c>
      <c r="M1035" s="53" t="s">
        <v>1816</v>
      </c>
      <c r="N1035" s="52"/>
      <c r="O1035" s="53" t="s">
        <v>1627</v>
      </c>
      <c r="P1035" s="53" t="s">
        <v>1598</v>
      </c>
      <c r="Q1035" s="52"/>
      <c r="R1035" s="52"/>
      <c r="S1035" s="54"/>
      <c r="T1035" s="52"/>
      <c r="U1035" s="54">
        <f t="shared" si="65"/>
        <v>0</v>
      </c>
      <c r="V1035" s="54">
        <v>0</v>
      </c>
      <c r="W1035" s="52"/>
      <c r="X1035" s="52">
        <v>2012</v>
      </c>
      <c r="Y1035" s="52" t="s">
        <v>2590</v>
      </c>
    </row>
    <row r="1036" spans="2:25" s="55" customFormat="1" ht="114.75" outlineLevel="1">
      <c r="B1036" s="52" t="s">
        <v>2842</v>
      </c>
      <c r="C1036" s="78" t="s">
        <v>246</v>
      </c>
      <c r="D1036" s="52" t="s">
        <v>304</v>
      </c>
      <c r="E1036" s="56" t="s">
        <v>1546</v>
      </c>
      <c r="F1036" s="53" t="s">
        <v>2836</v>
      </c>
      <c r="G1036" s="53"/>
      <c r="H1036" s="52" t="s">
        <v>243</v>
      </c>
      <c r="I1036" s="52">
        <v>75</v>
      </c>
      <c r="J1036" s="52">
        <v>711000000</v>
      </c>
      <c r="K1036" s="56" t="s">
        <v>151</v>
      </c>
      <c r="L1036" s="53" t="s">
        <v>2837</v>
      </c>
      <c r="M1036" s="53" t="s">
        <v>1816</v>
      </c>
      <c r="N1036" s="52"/>
      <c r="O1036" s="53" t="s">
        <v>2838</v>
      </c>
      <c r="P1036" s="53" t="s">
        <v>1598</v>
      </c>
      <c r="Q1036" s="52"/>
      <c r="R1036" s="52"/>
      <c r="S1036" s="54"/>
      <c r="T1036" s="52"/>
      <c r="U1036" s="54">
        <f t="shared" si="65"/>
        <v>569196.42857142852</v>
      </c>
      <c r="V1036" s="54">
        <f t="shared" si="68"/>
        <v>637500</v>
      </c>
      <c r="W1036" s="52"/>
      <c r="X1036" s="52">
        <v>2012</v>
      </c>
      <c r="Y1036" s="52"/>
    </row>
    <row r="1037" spans="2:25" s="55" customFormat="1" ht="114.75" outlineLevel="1">
      <c r="B1037" s="52" t="s">
        <v>544</v>
      </c>
      <c r="C1037" s="78" t="s">
        <v>246</v>
      </c>
      <c r="D1037" s="52" t="s">
        <v>304</v>
      </c>
      <c r="E1037" s="56" t="s">
        <v>1546</v>
      </c>
      <c r="F1037" s="53" t="s">
        <v>1575</v>
      </c>
      <c r="G1037" s="53"/>
      <c r="H1037" s="52" t="s">
        <v>243</v>
      </c>
      <c r="I1037" s="52">
        <v>75</v>
      </c>
      <c r="J1037" s="52">
        <v>230000000</v>
      </c>
      <c r="K1037" s="56" t="s">
        <v>118</v>
      </c>
      <c r="L1037" s="53" t="s">
        <v>1627</v>
      </c>
      <c r="M1037" s="56" t="s">
        <v>118</v>
      </c>
      <c r="N1037" s="52"/>
      <c r="O1037" s="53" t="s">
        <v>1627</v>
      </c>
      <c r="P1037" s="53" t="s">
        <v>1598</v>
      </c>
      <c r="Q1037" s="52"/>
      <c r="R1037" s="52"/>
      <c r="S1037" s="54"/>
      <c r="T1037" s="52"/>
      <c r="U1037" s="54">
        <f t="shared" si="65"/>
        <v>0</v>
      </c>
      <c r="V1037" s="54">
        <v>0</v>
      </c>
      <c r="W1037" s="52"/>
      <c r="X1037" s="52">
        <v>2012</v>
      </c>
      <c r="Y1037" s="52" t="s">
        <v>2590</v>
      </c>
    </row>
    <row r="1038" spans="2:25" s="55" customFormat="1" ht="114.75" outlineLevel="1">
      <c r="B1038" s="52" t="s">
        <v>2843</v>
      </c>
      <c r="C1038" s="78" t="s">
        <v>246</v>
      </c>
      <c r="D1038" s="52" t="s">
        <v>304</v>
      </c>
      <c r="E1038" s="56" t="s">
        <v>1546</v>
      </c>
      <c r="F1038" s="53" t="s">
        <v>2836</v>
      </c>
      <c r="G1038" s="53"/>
      <c r="H1038" s="52" t="s">
        <v>243</v>
      </c>
      <c r="I1038" s="52">
        <v>75</v>
      </c>
      <c r="J1038" s="52">
        <v>230000000</v>
      </c>
      <c r="K1038" s="56" t="s">
        <v>118</v>
      </c>
      <c r="L1038" s="53" t="s">
        <v>2837</v>
      </c>
      <c r="M1038" s="56" t="s">
        <v>118</v>
      </c>
      <c r="N1038" s="52"/>
      <c r="O1038" s="53" t="s">
        <v>2838</v>
      </c>
      <c r="P1038" s="53" t="s">
        <v>1598</v>
      </c>
      <c r="Q1038" s="52"/>
      <c r="R1038" s="52"/>
      <c r="S1038" s="54"/>
      <c r="T1038" s="52"/>
      <c r="U1038" s="54">
        <f t="shared" si="65"/>
        <v>569196.42857142852</v>
      </c>
      <c r="V1038" s="54">
        <f t="shared" si="68"/>
        <v>637500</v>
      </c>
      <c r="W1038" s="52"/>
      <c r="X1038" s="52">
        <v>2012</v>
      </c>
      <c r="Y1038" s="52"/>
    </row>
    <row r="1039" spans="2:25" s="55" customFormat="1" ht="114.75" outlineLevel="1">
      <c r="B1039" s="52" t="s">
        <v>545</v>
      </c>
      <c r="C1039" s="78" t="s">
        <v>246</v>
      </c>
      <c r="D1039" s="52" t="s">
        <v>304</v>
      </c>
      <c r="E1039" s="56" t="s">
        <v>1546</v>
      </c>
      <c r="F1039" s="53" t="s">
        <v>1575</v>
      </c>
      <c r="G1039" s="53"/>
      <c r="H1039" s="52" t="s">
        <v>243</v>
      </c>
      <c r="I1039" s="52">
        <v>75</v>
      </c>
      <c r="J1039" s="52">
        <v>630000000</v>
      </c>
      <c r="K1039" s="56" t="s">
        <v>97</v>
      </c>
      <c r="L1039" s="53" t="s">
        <v>1627</v>
      </c>
      <c r="M1039" s="56" t="s">
        <v>97</v>
      </c>
      <c r="N1039" s="52"/>
      <c r="O1039" s="53" t="s">
        <v>1627</v>
      </c>
      <c r="P1039" s="53" t="s">
        <v>1598</v>
      </c>
      <c r="Q1039" s="52"/>
      <c r="R1039" s="52"/>
      <c r="S1039" s="54"/>
      <c r="T1039" s="52"/>
      <c r="U1039" s="54">
        <f t="shared" si="65"/>
        <v>0</v>
      </c>
      <c r="V1039" s="54">
        <v>0</v>
      </c>
      <c r="W1039" s="52"/>
      <c r="X1039" s="52">
        <v>2012</v>
      </c>
      <c r="Y1039" s="52" t="s">
        <v>2590</v>
      </c>
    </row>
    <row r="1040" spans="2:25" s="55" customFormat="1" ht="114.75" outlineLevel="1">
      <c r="B1040" s="52" t="s">
        <v>2844</v>
      </c>
      <c r="C1040" s="78" t="s">
        <v>246</v>
      </c>
      <c r="D1040" s="52" t="s">
        <v>304</v>
      </c>
      <c r="E1040" s="56" t="s">
        <v>1546</v>
      </c>
      <c r="F1040" s="53" t="s">
        <v>2836</v>
      </c>
      <c r="G1040" s="53"/>
      <c r="H1040" s="52" t="s">
        <v>243</v>
      </c>
      <c r="I1040" s="52">
        <v>75</v>
      </c>
      <c r="J1040" s="52">
        <v>630000000</v>
      </c>
      <c r="K1040" s="56" t="s">
        <v>97</v>
      </c>
      <c r="L1040" s="53" t="s">
        <v>2837</v>
      </c>
      <c r="M1040" s="56" t="s">
        <v>97</v>
      </c>
      <c r="N1040" s="52"/>
      <c r="O1040" s="53" t="s">
        <v>2838</v>
      </c>
      <c r="P1040" s="53" t="s">
        <v>1598</v>
      </c>
      <c r="Q1040" s="52"/>
      <c r="R1040" s="52"/>
      <c r="S1040" s="54"/>
      <c r="T1040" s="52"/>
      <c r="U1040" s="54">
        <f t="shared" si="65"/>
        <v>569196.42857142852</v>
      </c>
      <c r="V1040" s="54">
        <f t="shared" si="68"/>
        <v>637500</v>
      </c>
      <c r="W1040" s="52"/>
      <c r="X1040" s="52">
        <v>2012</v>
      </c>
      <c r="Y1040" s="52"/>
    </row>
    <row r="1041" spans="2:25" s="55" customFormat="1" ht="114.75" outlineLevel="1">
      <c r="B1041" s="52" t="s">
        <v>546</v>
      </c>
      <c r="C1041" s="78" t="s">
        <v>246</v>
      </c>
      <c r="D1041" s="52" t="s">
        <v>304</v>
      </c>
      <c r="E1041" s="56" t="s">
        <v>1546</v>
      </c>
      <c r="F1041" s="53" t="s">
        <v>1575</v>
      </c>
      <c r="G1041" s="53"/>
      <c r="H1041" s="52" t="s">
        <v>243</v>
      </c>
      <c r="I1041" s="52">
        <v>50</v>
      </c>
      <c r="J1041" s="52">
        <v>310000000</v>
      </c>
      <c r="K1041" s="56" t="s">
        <v>119</v>
      </c>
      <c r="L1041" s="53" t="s">
        <v>1627</v>
      </c>
      <c r="M1041" s="56" t="s">
        <v>119</v>
      </c>
      <c r="N1041" s="52"/>
      <c r="O1041" s="53" t="s">
        <v>2180</v>
      </c>
      <c r="P1041" s="53" t="s">
        <v>1598</v>
      </c>
      <c r="Q1041" s="52"/>
      <c r="R1041" s="52"/>
      <c r="S1041" s="54"/>
      <c r="T1041" s="52"/>
      <c r="U1041" s="54">
        <f t="shared" si="65"/>
        <v>0</v>
      </c>
      <c r="V1041" s="54">
        <v>0</v>
      </c>
      <c r="W1041" s="52"/>
      <c r="X1041" s="52">
        <v>2012</v>
      </c>
      <c r="Y1041" s="52" t="s">
        <v>2590</v>
      </c>
    </row>
    <row r="1042" spans="2:25" s="55" customFormat="1" ht="114.75" outlineLevel="1">
      <c r="B1042" s="52" t="s">
        <v>2845</v>
      </c>
      <c r="C1042" s="78" t="s">
        <v>246</v>
      </c>
      <c r="D1042" s="52" t="s">
        <v>304</v>
      </c>
      <c r="E1042" s="56" t="s">
        <v>1546</v>
      </c>
      <c r="F1042" s="53" t="s">
        <v>2836</v>
      </c>
      <c r="G1042" s="53"/>
      <c r="H1042" s="52" t="s">
        <v>243</v>
      </c>
      <c r="I1042" s="52">
        <v>50</v>
      </c>
      <c r="J1042" s="52">
        <v>310000000</v>
      </c>
      <c r="K1042" s="56" t="s">
        <v>119</v>
      </c>
      <c r="L1042" s="53" t="s">
        <v>2837</v>
      </c>
      <c r="M1042" s="56" t="s">
        <v>119</v>
      </c>
      <c r="N1042" s="52"/>
      <c r="O1042" s="53" t="s">
        <v>2838</v>
      </c>
      <c r="P1042" s="53" t="s">
        <v>1598</v>
      </c>
      <c r="Q1042" s="52"/>
      <c r="R1042" s="52"/>
      <c r="S1042" s="54"/>
      <c r="T1042" s="52"/>
      <c r="U1042" s="54">
        <f t="shared" si="65"/>
        <v>569196.42857142852</v>
      </c>
      <c r="V1042" s="54">
        <f t="shared" si="68"/>
        <v>637500</v>
      </c>
      <c r="W1042" s="52"/>
      <c r="X1042" s="52">
        <v>2012</v>
      </c>
      <c r="Y1042" s="52"/>
    </row>
    <row r="1043" spans="2:25" s="55" customFormat="1" ht="114.75" outlineLevel="1">
      <c r="B1043" s="52" t="s">
        <v>547</v>
      </c>
      <c r="C1043" s="78" t="s">
        <v>246</v>
      </c>
      <c r="D1043" s="52" t="s">
        <v>304</v>
      </c>
      <c r="E1043" s="56" t="s">
        <v>1546</v>
      </c>
      <c r="F1043" s="53" t="s">
        <v>1575</v>
      </c>
      <c r="G1043" s="53"/>
      <c r="H1043" s="52" t="s">
        <v>243</v>
      </c>
      <c r="I1043" s="52">
        <v>75</v>
      </c>
      <c r="J1043" s="52">
        <v>270000000</v>
      </c>
      <c r="K1043" s="56" t="s">
        <v>98</v>
      </c>
      <c r="L1043" s="53" t="s">
        <v>1627</v>
      </c>
      <c r="M1043" s="56" t="s">
        <v>98</v>
      </c>
      <c r="N1043" s="52"/>
      <c r="O1043" s="53" t="s">
        <v>1627</v>
      </c>
      <c r="P1043" s="53" t="s">
        <v>1598</v>
      </c>
      <c r="Q1043" s="52"/>
      <c r="R1043" s="52"/>
      <c r="S1043" s="54"/>
      <c r="T1043" s="52"/>
      <c r="U1043" s="54">
        <f t="shared" si="65"/>
        <v>0</v>
      </c>
      <c r="V1043" s="54">
        <v>0</v>
      </c>
      <c r="W1043" s="52"/>
      <c r="X1043" s="52">
        <v>2012</v>
      </c>
      <c r="Y1043" s="52" t="s">
        <v>2590</v>
      </c>
    </row>
    <row r="1044" spans="2:25" s="55" customFormat="1" ht="114.75" outlineLevel="1">
      <c r="B1044" s="52" t="s">
        <v>2846</v>
      </c>
      <c r="C1044" s="78" t="s">
        <v>246</v>
      </c>
      <c r="D1044" s="52" t="s">
        <v>304</v>
      </c>
      <c r="E1044" s="56" t="s">
        <v>1546</v>
      </c>
      <c r="F1044" s="53" t="s">
        <v>2836</v>
      </c>
      <c r="G1044" s="53"/>
      <c r="H1044" s="52" t="s">
        <v>243</v>
      </c>
      <c r="I1044" s="52">
        <v>75</v>
      </c>
      <c r="J1044" s="52">
        <v>270000000</v>
      </c>
      <c r="K1044" s="56" t="s">
        <v>98</v>
      </c>
      <c r="L1044" s="53" t="s">
        <v>2837</v>
      </c>
      <c r="M1044" s="56" t="s">
        <v>98</v>
      </c>
      <c r="N1044" s="52"/>
      <c r="O1044" s="53" t="s">
        <v>2838</v>
      </c>
      <c r="P1044" s="53" t="s">
        <v>1598</v>
      </c>
      <c r="Q1044" s="52"/>
      <c r="R1044" s="52"/>
      <c r="S1044" s="54"/>
      <c r="T1044" s="52"/>
      <c r="U1044" s="54">
        <f t="shared" si="65"/>
        <v>569196.42857142852</v>
      </c>
      <c r="V1044" s="54">
        <f t="shared" si="68"/>
        <v>637500</v>
      </c>
      <c r="W1044" s="52"/>
      <c r="X1044" s="52">
        <v>2012</v>
      </c>
      <c r="Y1044" s="52"/>
    </row>
    <row r="1045" spans="2:25" s="55" customFormat="1" ht="114.75" outlineLevel="1">
      <c r="B1045" s="52" t="s">
        <v>548</v>
      </c>
      <c r="C1045" s="78" t="s">
        <v>246</v>
      </c>
      <c r="D1045" s="52" t="s">
        <v>304</v>
      </c>
      <c r="E1045" s="56" t="s">
        <v>1546</v>
      </c>
      <c r="F1045" s="53" t="s">
        <v>1575</v>
      </c>
      <c r="G1045" s="53"/>
      <c r="H1045" s="52" t="s">
        <v>243</v>
      </c>
      <c r="I1045" s="52">
        <v>75</v>
      </c>
      <c r="J1045" s="52">
        <v>350000000</v>
      </c>
      <c r="K1045" s="56" t="s">
        <v>120</v>
      </c>
      <c r="L1045" s="53" t="s">
        <v>1627</v>
      </c>
      <c r="M1045" s="56" t="s">
        <v>120</v>
      </c>
      <c r="N1045" s="52"/>
      <c r="O1045" s="53" t="s">
        <v>1627</v>
      </c>
      <c r="P1045" s="53" t="s">
        <v>1598</v>
      </c>
      <c r="Q1045" s="52"/>
      <c r="R1045" s="52"/>
      <c r="S1045" s="54"/>
      <c r="T1045" s="52"/>
      <c r="U1045" s="54">
        <f t="shared" si="65"/>
        <v>0</v>
      </c>
      <c r="V1045" s="54">
        <v>0</v>
      </c>
      <c r="W1045" s="52"/>
      <c r="X1045" s="52">
        <v>2012</v>
      </c>
      <c r="Y1045" s="52" t="s">
        <v>2590</v>
      </c>
    </row>
    <row r="1046" spans="2:25" s="55" customFormat="1" ht="114.75" outlineLevel="1">
      <c r="B1046" s="52" t="s">
        <v>2847</v>
      </c>
      <c r="C1046" s="78" t="s">
        <v>246</v>
      </c>
      <c r="D1046" s="52" t="s">
        <v>304</v>
      </c>
      <c r="E1046" s="56" t="s">
        <v>1546</v>
      </c>
      <c r="F1046" s="53" t="s">
        <v>2836</v>
      </c>
      <c r="G1046" s="53"/>
      <c r="H1046" s="52" t="s">
        <v>243</v>
      </c>
      <c r="I1046" s="52">
        <v>75</v>
      </c>
      <c r="J1046" s="52">
        <v>350000000</v>
      </c>
      <c r="K1046" s="56" t="s">
        <v>120</v>
      </c>
      <c r="L1046" s="53" t="s">
        <v>2837</v>
      </c>
      <c r="M1046" s="56" t="s">
        <v>120</v>
      </c>
      <c r="N1046" s="52"/>
      <c r="O1046" s="53" t="s">
        <v>2838</v>
      </c>
      <c r="P1046" s="53" t="s">
        <v>1598</v>
      </c>
      <c r="Q1046" s="52"/>
      <c r="R1046" s="52"/>
      <c r="S1046" s="54"/>
      <c r="T1046" s="52"/>
      <c r="U1046" s="54">
        <f t="shared" ref="U1046" si="69">V1046/112*100</f>
        <v>569196.42857142852</v>
      </c>
      <c r="V1046" s="54">
        <f t="shared" si="68"/>
        <v>637500</v>
      </c>
      <c r="W1046" s="52"/>
      <c r="X1046" s="52">
        <v>2012</v>
      </c>
      <c r="Y1046" s="52"/>
    </row>
    <row r="1047" spans="2:25" s="55" customFormat="1" ht="114.75" outlineLevel="1">
      <c r="B1047" s="52" t="s">
        <v>549</v>
      </c>
      <c r="C1047" s="78" t="s">
        <v>246</v>
      </c>
      <c r="D1047" s="52" t="s">
        <v>304</v>
      </c>
      <c r="E1047" s="56" t="s">
        <v>1546</v>
      </c>
      <c r="F1047" s="53" t="s">
        <v>1575</v>
      </c>
      <c r="G1047" s="53"/>
      <c r="H1047" s="52" t="s">
        <v>243</v>
      </c>
      <c r="I1047" s="52">
        <v>75</v>
      </c>
      <c r="J1047" s="52">
        <v>390000000</v>
      </c>
      <c r="K1047" s="56" t="s">
        <v>121</v>
      </c>
      <c r="L1047" s="53" t="s">
        <v>2183</v>
      </c>
      <c r="M1047" s="56" t="s">
        <v>121</v>
      </c>
      <c r="N1047" s="52"/>
      <c r="O1047" s="53" t="s">
        <v>2183</v>
      </c>
      <c r="P1047" s="53" t="s">
        <v>1598</v>
      </c>
      <c r="Q1047" s="52"/>
      <c r="R1047" s="52"/>
      <c r="S1047" s="54"/>
      <c r="T1047" s="52"/>
      <c r="U1047" s="54">
        <f>V1047/112*100</f>
        <v>0</v>
      </c>
      <c r="V1047" s="54">
        <v>0</v>
      </c>
      <c r="W1047" s="52"/>
      <c r="X1047" s="52">
        <v>2012</v>
      </c>
      <c r="Y1047" s="52" t="s">
        <v>2590</v>
      </c>
    </row>
    <row r="1048" spans="2:25" s="55" customFormat="1" ht="114.75" outlineLevel="1">
      <c r="B1048" s="52" t="s">
        <v>2848</v>
      </c>
      <c r="C1048" s="78" t="s">
        <v>246</v>
      </c>
      <c r="D1048" s="52" t="s">
        <v>304</v>
      </c>
      <c r="E1048" s="56" t="s">
        <v>1546</v>
      </c>
      <c r="F1048" s="53" t="s">
        <v>2836</v>
      </c>
      <c r="G1048" s="53"/>
      <c r="H1048" s="52" t="s">
        <v>243</v>
      </c>
      <c r="I1048" s="52">
        <v>75</v>
      </c>
      <c r="J1048" s="52">
        <v>390000000</v>
      </c>
      <c r="K1048" s="56" t="s">
        <v>121</v>
      </c>
      <c r="L1048" s="53" t="s">
        <v>2183</v>
      </c>
      <c r="M1048" s="56" t="s">
        <v>121</v>
      </c>
      <c r="N1048" s="52"/>
      <c r="O1048" s="53" t="s">
        <v>2183</v>
      </c>
      <c r="P1048" s="53" t="s">
        <v>1598</v>
      </c>
      <c r="Q1048" s="52"/>
      <c r="R1048" s="52"/>
      <c r="S1048" s="54"/>
      <c r="T1048" s="52"/>
      <c r="U1048" s="54">
        <f>V1048/112*100</f>
        <v>569196.42857142852</v>
      </c>
      <c r="V1048" s="54">
        <f t="shared" si="68"/>
        <v>637500</v>
      </c>
      <c r="W1048" s="52"/>
      <c r="X1048" s="52">
        <v>2012</v>
      </c>
      <c r="Y1048" s="52"/>
    </row>
    <row r="1049" spans="2:25" s="55" customFormat="1" ht="114.75" outlineLevel="1">
      <c r="B1049" s="52" t="s">
        <v>550</v>
      </c>
      <c r="C1049" s="78" t="s">
        <v>246</v>
      </c>
      <c r="D1049" s="52" t="s">
        <v>304</v>
      </c>
      <c r="E1049" s="56" t="s">
        <v>1546</v>
      </c>
      <c r="F1049" s="53" t="s">
        <v>1575</v>
      </c>
      <c r="G1049" s="53"/>
      <c r="H1049" s="52" t="s">
        <v>243</v>
      </c>
      <c r="I1049" s="52">
        <v>75</v>
      </c>
      <c r="J1049" s="52">
        <v>430000000</v>
      </c>
      <c r="K1049" s="56" t="s">
        <v>122</v>
      </c>
      <c r="L1049" s="53" t="s">
        <v>1627</v>
      </c>
      <c r="M1049" s="56" t="s">
        <v>122</v>
      </c>
      <c r="N1049" s="52"/>
      <c r="O1049" s="53" t="s">
        <v>1627</v>
      </c>
      <c r="P1049" s="53" t="s">
        <v>1598</v>
      </c>
      <c r="Q1049" s="52"/>
      <c r="R1049" s="52"/>
      <c r="S1049" s="54"/>
      <c r="T1049" s="52"/>
      <c r="U1049" s="54">
        <f t="shared" ref="U1049:U1058" si="70">V1049/112*100</f>
        <v>0</v>
      </c>
      <c r="V1049" s="54">
        <v>0</v>
      </c>
      <c r="W1049" s="52"/>
      <c r="X1049" s="52">
        <v>2012</v>
      </c>
      <c r="Y1049" s="52" t="s">
        <v>2590</v>
      </c>
    </row>
    <row r="1050" spans="2:25" s="55" customFormat="1" ht="114.75" outlineLevel="1">
      <c r="B1050" s="52" t="s">
        <v>2849</v>
      </c>
      <c r="C1050" s="78" t="s">
        <v>246</v>
      </c>
      <c r="D1050" s="52" t="s">
        <v>304</v>
      </c>
      <c r="E1050" s="56" t="s">
        <v>1546</v>
      </c>
      <c r="F1050" s="53" t="s">
        <v>2836</v>
      </c>
      <c r="G1050" s="53"/>
      <c r="H1050" s="52" t="s">
        <v>243</v>
      </c>
      <c r="I1050" s="52">
        <v>75</v>
      </c>
      <c r="J1050" s="52">
        <v>430000000</v>
      </c>
      <c r="K1050" s="56" t="s">
        <v>122</v>
      </c>
      <c r="L1050" s="53" t="s">
        <v>2837</v>
      </c>
      <c r="M1050" s="56" t="s">
        <v>122</v>
      </c>
      <c r="N1050" s="52"/>
      <c r="O1050" s="53" t="s">
        <v>2838</v>
      </c>
      <c r="P1050" s="53" t="s">
        <v>1598</v>
      </c>
      <c r="Q1050" s="52"/>
      <c r="R1050" s="52"/>
      <c r="S1050" s="54"/>
      <c r="T1050" s="52"/>
      <c r="U1050" s="54">
        <f t="shared" si="70"/>
        <v>569196.42857142852</v>
      </c>
      <c r="V1050" s="54">
        <f t="shared" si="68"/>
        <v>637500</v>
      </c>
      <c r="W1050" s="52"/>
      <c r="X1050" s="52">
        <v>2012</v>
      </c>
      <c r="Y1050" s="52"/>
    </row>
    <row r="1051" spans="2:25" s="55" customFormat="1" ht="114.75" outlineLevel="1">
      <c r="B1051" s="52" t="s">
        <v>551</v>
      </c>
      <c r="C1051" s="78" t="s">
        <v>246</v>
      </c>
      <c r="D1051" s="52" t="s">
        <v>304</v>
      </c>
      <c r="E1051" s="56" t="s">
        <v>1546</v>
      </c>
      <c r="F1051" s="53" t="s">
        <v>1575</v>
      </c>
      <c r="G1051" s="53"/>
      <c r="H1051" s="52" t="s">
        <v>243</v>
      </c>
      <c r="I1051" s="52">
        <v>75</v>
      </c>
      <c r="J1051" s="52">
        <v>470000000</v>
      </c>
      <c r="K1051" s="56" t="s">
        <v>123</v>
      </c>
      <c r="L1051" s="53" t="s">
        <v>1627</v>
      </c>
      <c r="M1051" s="56" t="s">
        <v>123</v>
      </c>
      <c r="N1051" s="52"/>
      <c r="O1051" s="53" t="s">
        <v>1627</v>
      </c>
      <c r="P1051" s="53" t="s">
        <v>1598</v>
      </c>
      <c r="Q1051" s="52"/>
      <c r="R1051" s="52"/>
      <c r="S1051" s="54"/>
      <c r="T1051" s="52"/>
      <c r="U1051" s="54">
        <f t="shared" si="70"/>
        <v>0</v>
      </c>
      <c r="V1051" s="54">
        <v>0</v>
      </c>
      <c r="W1051" s="52"/>
      <c r="X1051" s="52">
        <v>2012</v>
      </c>
      <c r="Y1051" s="52" t="s">
        <v>2590</v>
      </c>
    </row>
    <row r="1052" spans="2:25" s="55" customFormat="1" ht="114.75" outlineLevel="1">
      <c r="B1052" s="52" t="s">
        <v>2850</v>
      </c>
      <c r="C1052" s="78" t="s">
        <v>246</v>
      </c>
      <c r="D1052" s="52" t="s">
        <v>304</v>
      </c>
      <c r="E1052" s="56" t="s">
        <v>1546</v>
      </c>
      <c r="F1052" s="53" t="s">
        <v>2836</v>
      </c>
      <c r="G1052" s="53"/>
      <c r="H1052" s="52" t="s">
        <v>243</v>
      </c>
      <c r="I1052" s="52">
        <v>75</v>
      </c>
      <c r="J1052" s="52">
        <v>470000000</v>
      </c>
      <c r="K1052" s="56" t="s">
        <v>123</v>
      </c>
      <c r="L1052" s="53" t="s">
        <v>2837</v>
      </c>
      <c r="M1052" s="56" t="s">
        <v>123</v>
      </c>
      <c r="N1052" s="52"/>
      <c r="O1052" s="53" t="s">
        <v>2838</v>
      </c>
      <c r="P1052" s="53" t="s">
        <v>1598</v>
      </c>
      <c r="Q1052" s="52"/>
      <c r="R1052" s="52"/>
      <c r="S1052" s="54"/>
      <c r="T1052" s="52"/>
      <c r="U1052" s="54">
        <f t="shared" si="70"/>
        <v>569196.42857142852</v>
      </c>
      <c r="V1052" s="54">
        <f t="shared" si="68"/>
        <v>637500</v>
      </c>
      <c r="W1052" s="52"/>
      <c r="X1052" s="52">
        <v>2012</v>
      </c>
      <c r="Y1052" s="52"/>
    </row>
    <row r="1053" spans="2:25" s="55" customFormat="1" ht="114.75" outlineLevel="1">
      <c r="B1053" s="52" t="s">
        <v>552</v>
      </c>
      <c r="C1053" s="78" t="s">
        <v>246</v>
      </c>
      <c r="D1053" s="52" t="s">
        <v>304</v>
      </c>
      <c r="E1053" s="56" t="s">
        <v>1546</v>
      </c>
      <c r="F1053" s="53" t="s">
        <v>1575</v>
      </c>
      <c r="G1053" s="53"/>
      <c r="H1053" s="52" t="s">
        <v>243</v>
      </c>
      <c r="I1053" s="52">
        <v>75</v>
      </c>
      <c r="J1053" s="52">
        <v>550000000</v>
      </c>
      <c r="K1053" s="56" t="s">
        <v>124</v>
      </c>
      <c r="L1053" s="53" t="s">
        <v>1627</v>
      </c>
      <c r="M1053" s="56" t="s">
        <v>124</v>
      </c>
      <c r="N1053" s="52"/>
      <c r="O1053" s="53" t="s">
        <v>1627</v>
      </c>
      <c r="P1053" s="53" t="s">
        <v>1598</v>
      </c>
      <c r="Q1053" s="52"/>
      <c r="R1053" s="52"/>
      <c r="S1053" s="54"/>
      <c r="T1053" s="52"/>
      <c r="U1053" s="54">
        <f t="shared" si="70"/>
        <v>0</v>
      </c>
      <c r="V1053" s="54">
        <v>0</v>
      </c>
      <c r="W1053" s="52"/>
      <c r="X1053" s="52">
        <v>2012</v>
      </c>
      <c r="Y1053" s="52" t="s">
        <v>2590</v>
      </c>
    </row>
    <row r="1054" spans="2:25" s="55" customFormat="1" ht="114.75" outlineLevel="1">
      <c r="B1054" s="52" t="s">
        <v>2851</v>
      </c>
      <c r="C1054" s="78" t="s">
        <v>246</v>
      </c>
      <c r="D1054" s="52" t="s">
        <v>304</v>
      </c>
      <c r="E1054" s="56" t="s">
        <v>1546</v>
      </c>
      <c r="F1054" s="53" t="s">
        <v>2836</v>
      </c>
      <c r="G1054" s="53"/>
      <c r="H1054" s="52" t="s">
        <v>243</v>
      </c>
      <c r="I1054" s="52">
        <v>75</v>
      </c>
      <c r="J1054" s="52">
        <v>550000000</v>
      </c>
      <c r="K1054" s="56" t="s">
        <v>124</v>
      </c>
      <c r="L1054" s="53" t="s">
        <v>2837</v>
      </c>
      <c r="M1054" s="56" t="s">
        <v>124</v>
      </c>
      <c r="N1054" s="52"/>
      <c r="O1054" s="53" t="s">
        <v>2838</v>
      </c>
      <c r="P1054" s="53" t="s">
        <v>1598</v>
      </c>
      <c r="Q1054" s="52"/>
      <c r="R1054" s="52"/>
      <c r="S1054" s="54"/>
      <c r="T1054" s="52"/>
      <c r="U1054" s="54">
        <f t="shared" si="70"/>
        <v>569196.42857142852</v>
      </c>
      <c r="V1054" s="54">
        <f t="shared" si="68"/>
        <v>637500</v>
      </c>
      <c r="W1054" s="52"/>
      <c r="X1054" s="52">
        <v>2012</v>
      </c>
      <c r="Y1054" s="52"/>
    </row>
    <row r="1055" spans="2:25" s="55" customFormat="1" ht="114.75" outlineLevel="1">
      <c r="B1055" s="52" t="s">
        <v>553</v>
      </c>
      <c r="C1055" s="78" t="s">
        <v>246</v>
      </c>
      <c r="D1055" s="52" t="s">
        <v>304</v>
      </c>
      <c r="E1055" s="56" t="s">
        <v>1546</v>
      </c>
      <c r="F1055" s="53" t="s">
        <v>1575</v>
      </c>
      <c r="G1055" s="53"/>
      <c r="H1055" s="52" t="s">
        <v>243</v>
      </c>
      <c r="I1055" s="52">
        <v>75</v>
      </c>
      <c r="J1055" s="52">
        <v>590000000</v>
      </c>
      <c r="K1055" s="56" t="s">
        <v>103</v>
      </c>
      <c r="L1055" s="53" t="s">
        <v>1627</v>
      </c>
      <c r="M1055" s="56" t="s">
        <v>103</v>
      </c>
      <c r="N1055" s="52"/>
      <c r="O1055" s="53" t="s">
        <v>1627</v>
      </c>
      <c r="P1055" s="53" t="s">
        <v>1598</v>
      </c>
      <c r="Q1055" s="52"/>
      <c r="R1055" s="52"/>
      <c r="S1055" s="54"/>
      <c r="T1055" s="52"/>
      <c r="U1055" s="54">
        <f t="shared" si="70"/>
        <v>0</v>
      </c>
      <c r="V1055" s="54">
        <v>0</v>
      </c>
      <c r="W1055" s="52"/>
      <c r="X1055" s="52">
        <v>2012</v>
      </c>
      <c r="Y1055" s="52" t="s">
        <v>2590</v>
      </c>
    </row>
    <row r="1056" spans="2:25" s="55" customFormat="1" ht="114.75" outlineLevel="1">
      <c r="B1056" s="52" t="s">
        <v>2852</v>
      </c>
      <c r="C1056" s="78" t="s">
        <v>246</v>
      </c>
      <c r="D1056" s="52" t="s">
        <v>304</v>
      </c>
      <c r="E1056" s="56" t="s">
        <v>1546</v>
      </c>
      <c r="F1056" s="53" t="s">
        <v>2836</v>
      </c>
      <c r="G1056" s="53"/>
      <c r="H1056" s="52" t="s">
        <v>243</v>
      </c>
      <c r="I1056" s="52">
        <v>75</v>
      </c>
      <c r="J1056" s="52">
        <v>590000000</v>
      </c>
      <c r="K1056" s="56" t="s">
        <v>103</v>
      </c>
      <c r="L1056" s="53" t="s">
        <v>2837</v>
      </c>
      <c r="M1056" s="56" t="s">
        <v>103</v>
      </c>
      <c r="N1056" s="52"/>
      <c r="O1056" s="53" t="s">
        <v>2838</v>
      </c>
      <c r="P1056" s="53" t="s">
        <v>1598</v>
      </c>
      <c r="Q1056" s="52"/>
      <c r="R1056" s="52"/>
      <c r="S1056" s="54"/>
      <c r="T1056" s="52"/>
      <c r="U1056" s="54">
        <f t="shared" si="70"/>
        <v>569196.42857142852</v>
      </c>
      <c r="V1056" s="54">
        <f t="shared" si="68"/>
        <v>637500</v>
      </c>
      <c r="W1056" s="52"/>
      <c r="X1056" s="52">
        <v>2012</v>
      </c>
      <c r="Y1056" s="52"/>
    </row>
    <row r="1057" spans="2:25" s="55" customFormat="1" ht="114.75" outlineLevel="1">
      <c r="B1057" s="52" t="s">
        <v>554</v>
      </c>
      <c r="C1057" s="78" t="s">
        <v>246</v>
      </c>
      <c r="D1057" s="52" t="s">
        <v>304</v>
      </c>
      <c r="E1057" s="56" t="s">
        <v>1546</v>
      </c>
      <c r="F1057" s="53" t="s">
        <v>1575</v>
      </c>
      <c r="G1057" s="53"/>
      <c r="H1057" s="52" t="s">
        <v>243</v>
      </c>
      <c r="I1057" s="52">
        <v>75</v>
      </c>
      <c r="J1057" s="52">
        <v>510000000</v>
      </c>
      <c r="K1057" s="63" t="s">
        <v>104</v>
      </c>
      <c r="L1057" s="53" t="s">
        <v>1627</v>
      </c>
      <c r="M1057" s="63" t="s">
        <v>104</v>
      </c>
      <c r="N1057" s="52"/>
      <c r="O1057" s="53" t="s">
        <v>1627</v>
      </c>
      <c r="P1057" s="53" t="s">
        <v>1598</v>
      </c>
      <c r="Q1057" s="52"/>
      <c r="R1057" s="52"/>
      <c r="S1057" s="54"/>
      <c r="T1057" s="52"/>
      <c r="U1057" s="54">
        <f t="shared" si="70"/>
        <v>0</v>
      </c>
      <c r="V1057" s="54">
        <v>0</v>
      </c>
      <c r="W1057" s="52"/>
      <c r="X1057" s="52">
        <v>2012</v>
      </c>
      <c r="Y1057" s="52" t="s">
        <v>2590</v>
      </c>
    </row>
    <row r="1058" spans="2:25" s="55" customFormat="1" ht="114.75" outlineLevel="1">
      <c r="B1058" s="52" t="s">
        <v>2853</v>
      </c>
      <c r="C1058" s="78" t="s">
        <v>246</v>
      </c>
      <c r="D1058" s="52" t="s">
        <v>304</v>
      </c>
      <c r="E1058" s="56" t="s">
        <v>1546</v>
      </c>
      <c r="F1058" s="53" t="s">
        <v>2836</v>
      </c>
      <c r="G1058" s="53"/>
      <c r="H1058" s="52" t="s">
        <v>243</v>
      </c>
      <c r="I1058" s="52">
        <v>75</v>
      </c>
      <c r="J1058" s="52">
        <v>510000000</v>
      </c>
      <c r="K1058" s="63" t="s">
        <v>104</v>
      </c>
      <c r="L1058" s="53" t="s">
        <v>2837</v>
      </c>
      <c r="M1058" s="63" t="s">
        <v>104</v>
      </c>
      <c r="N1058" s="52"/>
      <c r="O1058" s="53" t="s">
        <v>2838</v>
      </c>
      <c r="P1058" s="53" t="s">
        <v>1598</v>
      </c>
      <c r="Q1058" s="52"/>
      <c r="R1058" s="52"/>
      <c r="S1058" s="54"/>
      <c r="T1058" s="52"/>
      <c r="U1058" s="54">
        <f t="shared" si="70"/>
        <v>569196.42857142852</v>
      </c>
      <c r="V1058" s="54">
        <f t="shared" si="68"/>
        <v>637500</v>
      </c>
      <c r="W1058" s="52"/>
      <c r="X1058" s="52">
        <v>2012</v>
      </c>
      <c r="Y1058" s="52"/>
    </row>
    <row r="1059" spans="2:25" s="55" customFormat="1" ht="102" outlineLevel="1">
      <c r="B1059" s="52" t="s">
        <v>555</v>
      </c>
      <c r="C1059" s="78" t="s">
        <v>246</v>
      </c>
      <c r="D1059" s="52" t="s">
        <v>323</v>
      </c>
      <c r="E1059" s="56" t="s">
        <v>171</v>
      </c>
      <c r="F1059" s="56" t="s">
        <v>1578</v>
      </c>
      <c r="G1059" s="56"/>
      <c r="H1059" s="52" t="s">
        <v>243</v>
      </c>
      <c r="I1059" s="52">
        <v>100</v>
      </c>
      <c r="J1059" s="52">
        <v>110000000</v>
      </c>
      <c r="K1059" s="56" t="s">
        <v>125</v>
      </c>
      <c r="L1059" s="53" t="s">
        <v>1627</v>
      </c>
      <c r="M1059" s="56" t="s">
        <v>125</v>
      </c>
      <c r="N1059" s="52"/>
      <c r="O1059" s="53" t="s">
        <v>1627</v>
      </c>
      <c r="P1059" s="53" t="s">
        <v>1500</v>
      </c>
      <c r="Q1059" s="52"/>
      <c r="R1059" s="52"/>
      <c r="S1059" s="54"/>
      <c r="T1059" s="52"/>
      <c r="U1059" s="54">
        <f t="shared" ref="U1059:U1154" si="71">V1059/112*100</f>
        <v>468750</v>
      </c>
      <c r="V1059" s="54">
        <v>525000</v>
      </c>
      <c r="W1059" s="52"/>
      <c r="X1059" s="52">
        <v>2012</v>
      </c>
      <c r="Y1059" s="52"/>
    </row>
    <row r="1060" spans="2:25" s="55" customFormat="1" ht="102" outlineLevel="1">
      <c r="B1060" s="52" t="s">
        <v>556</v>
      </c>
      <c r="C1060" s="78" t="s">
        <v>246</v>
      </c>
      <c r="D1060" s="52" t="s">
        <v>323</v>
      </c>
      <c r="E1060" s="56" t="s">
        <v>171</v>
      </c>
      <c r="F1060" s="56" t="s">
        <v>1578</v>
      </c>
      <c r="G1060" s="56"/>
      <c r="H1060" s="52" t="s">
        <v>243</v>
      </c>
      <c r="I1060" s="52">
        <v>100</v>
      </c>
      <c r="J1060" s="52">
        <v>150000000</v>
      </c>
      <c r="K1060" s="56" t="s">
        <v>126</v>
      </c>
      <c r="L1060" s="53" t="s">
        <v>1627</v>
      </c>
      <c r="M1060" s="56" t="s">
        <v>126</v>
      </c>
      <c r="N1060" s="52"/>
      <c r="O1060" s="53" t="s">
        <v>1627</v>
      </c>
      <c r="P1060" s="53" t="s">
        <v>1500</v>
      </c>
      <c r="Q1060" s="52"/>
      <c r="R1060" s="52"/>
      <c r="S1060" s="54"/>
      <c r="T1060" s="52"/>
      <c r="U1060" s="54">
        <f t="shared" si="71"/>
        <v>239142.85714285716</v>
      </c>
      <c r="V1060" s="54">
        <v>267840</v>
      </c>
      <c r="W1060" s="52"/>
      <c r="X1060" s="52">
        <v>2012</v>
      </c>
      <c r="Y1060" s="52"/>
    </row>
    <row r="1061" spans="2:25" s="55" customFormat="1" ht="102" outlineLevel="1">
      <c r="B1061" s="52" t="s">
        <v>557</v>
      </c>
      <c r="C1061" s="78" t="s">
        <v>246</v>
      </c>
      <c r="D1061" s="52" t="s">
        <v>323</v>
      </c>
      <c r="E1061" s="56" t="s">
        <v>171</v>
      </c>
      <c r="F1061" s="56" t="s">
        <v>1578</v>
      </c>
      <c r="G1061" s="56"/>
      <c r="H1061" s="52" t="s">
        <v>243</v>
      </c>
      <c r="I1061" s="52">
        <v>100</v>
      </c>
      <c r="J1061" s="52">
        <v>190000000</v>
      </c>
      <c r="K1061" s="56" t="s">
        <v>117</v>
      </c>
      <c r="L1061" s="53" t="s">
        <v>1627</v>
      </c>
      <c r="M1061" s="56" t="s">
        <v>117</v>
      </c>
      <c r="N1061" s="52"/>
      <c r="O1061" s="53" t="s">
        <v>1627</v>
      </c>
      <c r="P1061" s="53" t="s">
        <v>1500</v>
      </c>
      <c r="Q1061" s="52"/>
      <c r="R1061" s="52"/>
      <c r="S1061" s="54"/>
      <c r="T1061" s="52"/>
      <c r="U1061" s="54">
        <f t="shared" si="71"/>
        <v>585642.85714285716</v>
      </c>
      <c r="V1061" s="54">
        <v>655920</v>
      </c>
      <c r="W1061" s="52"/>
      <c r="X1061" s="52">
        <v>2012</v>
      </c>
      <c r="Y1061" s="52"/>
    </row>
    <row r="1062" spans="2:25" s="55" customFormat="1" ht="102" outlineLevel="1">
      <c r="B1062" s="52" t="s">
        <v>558</v>
      </c>
      <c r="C1062" s="78" t="s">
        <v>246</v>
      </c>
      <c r="D1062" s="52" t="s">
        <v>323</v>
      </c>
      <c r="E1062" s="56" t="s">
        <v>171</v>
      </c>
      <c r="F1062" s="56" t="s">
        <v>1578</v>
      </c>
      <c r="G1062" s="56"/>
      <c r="H1062" s="52" t="s">
        <v>243</v>
      </c>
      <c r="I1062" s="52">
        <v>100</v>
      </c>
      <c r="J1062" s="52">
        <v>751000000</v>
      </c>
      <c r="K1062" s="63" t="s">
        <v>1437</v>
      </c>
      <c r="L1062" s="53" t="s">
        <v>1976</v>
      </c>
      <c r="M1062" s="63" t="s">
        <v>1437</v>
      </c>
      <c r="N1062" s="52"/>
      <c r="O1062" s="53" t="s">
        <v>1976</v>
      </c>
      <c r="P1062" s="53" t="s">
        <v>1500</v>
      </c>
      <c r="Q1062" s="52"/>
      <c r="R1062" s="52"/>
      <c r="S1062" s="54"/>
      <c r="T1062" s="52"/>
      <c r="U1062" s="54">
        <f t="shared" si="71"/>
        <v>0</v>
      </c>
      <c r="V1062" s="54">
        <v>0</v>
      </c>
      <c r="W1062" s="52"/>
      <c r="X1062" s="52">
        <v>2012</v>
      </c>
      <c r="Y1062" s="52">
        <v>21</v>
      </c>
    </row>
    <row r="1063" spans="2:25" s="55" customFormat="1" ht="102" outlineLevel="1">
      <c r="B1063" s="52" t="s">
        <v>2854</v>
      </c>
      <c r="C1063" s="78" t="s">
        <v>246</v>
      </c>
      <c r="D1063" s="52" t="s">
        <v>323</v>
      </c>
      <c r="E1063" s="56" t="s">
        <v>171</v>
      </c>
      <c r="F1063" s="56" t="s">
        <v>1578</v>
      </c>
      <c r="G1063" s="56"/>
      <c r="H1063" s="52" t="s">
        <v>243</v>
      </c>
      <c r="I1063" s="52">
        <v>100</v>
      </c>
      <c r="J1063" s="52">
        <v>751000000</v>
      </c>
      <c r="K1063" s="63" t="s">
        <v>1437</v>
      </c>
      <c r="L1063" s="53" t="s">
        <v>1976</v>
      </c>
      <c r="M1063" s="63" t="s">
        <v>1437</v>
      </c>
      <c r="N1063" s="52"/>
      <c r="O1063" s="53" t="s">
        <v>1976</v>
      </c>
      <c r="P1063" s="53" t="s">
        <v>1500</v>
      </c>
      <c r="Q1063" s="52"/>
      <c r="R1063" s="52"/>
      <c r="S1063" s="54"/>
      <c r="T1063" s="52"/>
      <c r="U1063" s="54">
        <f t="shared" si="71"/>
        <v>1954285.7142857141</v>
      </c>
      <c r="V1063" s="54">
        <f>570000+1618800</f>
        <v>2188800</v>
      </c>
      <c r="W1063" s="52"/>
      <c r="X1063" s="52">
        <v>2012</v>
      </c>
      <c r="Y1063" s="52"/>
    </row>
    <row r="1064" spans="2:25" s="55" customFormat="1" ht="102" outlineLevel="1">
      <c r="B1064" s="52" t="s">
        <v>559</v>
      </c>
      <c r="C1064" s="78" t="s">
        <v>246</v>
      </c>
      <c r="D1064" s="52" t="s">
        <v>323</v>
      </c>
      <c r="E1064" s="56" t="s">
        <v>171</v>
      </c>
      <c r="F1064" s="56" t="s">
        <v>1578</v>
      </c>
      <c r="G1064" s="56"/>
      <c r="H1064" s="52" t="s">
        <v>243</v>
      </c>
      <c r="I1064" s="52">
        <v>100</v>
      </c>
      <c r="J1064" s="52">
        <v>711000000</v>
      </c>
      <c r="K1064" s="56" t="s">
        <v>151</v>
      </c>
      <c r="L1064" s="53" t="s">
        <v>1627</v>
      </c>
      <c r="M1064" s="53" t="s">
        <v>1816</v>
      </c>
      <c r="N1064" s="52"/>
      <c r="O1064" s="53" t="s">
        <v>1627</v>
      </c>
      <c r="P1064" s="53" t="s">
        <v>1500</v>
      </c>
      <c r="Q1064" s="52"/>
      <c r="R1064" s="52"/>
      <c r="S1064" s="54"/>
      <c r="T1064" s="52"/>
      <c r="U1064" s="54">
        <f t="shared" si="71"/>
        <v>508928.57142857148</v>
      </c>
      <c r="V1064" s="54">
        <v>570000</v>
      </c>
      <c r="W1064" s="52"/>
      <c r="X1064" s="52">
        <v>2012</v>
      </c>
      <c r="Y1064" s="52"/>
    </row>
    <row r="1065" spans="2:25" s="55" customFormat="1" ht="102" outlineLevel="1">
      <c r="B1065" s="52" t="s">
        <v>560</v>
      </c>
      <c r="C1065" s="78" t="s">
        <v>246</v>
      </c>
      <c r="D1065" s="52" t="s">
        <v>323</v>
      </c>
      <c r="E1065" s="56" t="s">
        <v>171</v>
      </c>
      <c r="F1065" s="56" t="s">
        <v>1578</v>
      </c>
      <c r="G1065" s="56"/>
      <c r="H1065" s="52" t="s">
        <v>243</v>
      </c>
      <c r="I1065" s="52">
        <v>100</v>
      </c>
      <c r="J1065" s="52">
        <v>350000000</v>
      </c>
      <c r="K1065" s="56" t="s">
        <v>120</v>
      </c>
      <c r="L1065" s="53" t="s">
        <v>1627</v>
      </c>
      <c r="M1065" s="56" t="s">
        <v>120</v>
      </c>
      <c r="N1065" s="52"/>
      <c r="O1065" s="53" t="s">
        <v>1627</v>
      </c>
      <c r="P1065" s="53" t="s">
        <v>1500</v>
      </c>
      <c r="Q1065" s="52"/>
      <c r="R1065" s="52"/>
      <c r="S1065" s="54"/>
      <c r="T1065" s="52"/>
      <c r="U1065" s="54">
        <f t="shared" si="71"/>
        <v>508928.57142857148</v>
      </c>
      <c r="V1065" s="54">
        <v>570000</v>
      </c>
      <c r="W1065" s="52"/>
      <c r="X1065" s="52">
        <v>2012</v>
      </c>
      <c r="Y1065" s="52"/>
    </row>
    <row r="1066" spans="2:25" s="55" customFormat="1" ht="102" outlineLevel="1">
      <c r="B1066" s="52" t="s">
        <v>561</v>
      </c>
      <c r="C1066" s="78" t="s">
        <v>246</v>
      </c>
      <c r="D1066" s="52" t="s">
        <v>323</v>
      </c>
      <c r="E1066" s="56" t="s">
        <v>171</v>
      </c>
      <c r="F1066" s="56" t="s">
        <v>1578</v>
      </c>
      <c r="G1066" s="56"/>
      <c r="H1066" s="52" t="s">
        <v>243</v>
      </c>
      <c r="I1066" s="52">
        <v>100</v>
      </c>
      <c r="J1066" s="52">
        <v>390000000</v>
      </c>
      <c r="K1066" s="56" t="s">
        <v>121</v>
      </c>
      <c r="L1066" s="53" t="s">
        <v>1627</v>
      </c>
      <c r="M1066" s="56" t="s">
        <v>121</v>
      </c>
      <c r="N1066" s="52"/>
      <c r="O1066" s="53" t="s">
        <v>1627</v>
      </c>
      <c r="P1066" s="53" t="s">
        <v>1500</v>
      </c>
      <c r="Q1066" s="52"/>
      <c r="R1066" s="52"/>
      <c r="S1066" s="54"/>
      <c r="T1066" s="52"/>
      <c r="U1066" s="54">
        <f t="shared" si="71"/>
        <v>579678.57142857148</v>
      </c>
      <c r="V1066" s="54">
        <v>649240</v>
      </c>
      <c r="W1066" s="52"/>
      <c r="X1066" s="52">
        <v>2012</v>
      </c>
      <c r="Y1066" s="52"/>
    </row>
    <row r="1067" spans="2:25" s="55" customFormat="1" ht="102" outlineLevel="1">
      <c r="B1067" s="52" t="s">
        <v>562</v>
      </c>
      <c r="C1067" s="78" t="s">
        <v>246</v>
      </c>
      <c r="D1067" s="52" t="s">
        <v>323</v>
      </c>
      <c r="E1067" s="56" t="s">
        <v>171</v>
      </c>
      <c r="F1067" s="56" t="s">
        <v>1578</v>
      </c>
      <c r="G1067" s="56"/>
      <c r="H1067" s="52" t="s">
        <v>243</v>
      </c>
      <c r="I1067" s="52">
        <v>100</v>
      </c>
      <c r="J1067" s="52">
        <v>470000000</v>
      </c>
      <c r="K1067" s="56" t="s">
        <v>123</v>
      </c>
      <c r="L1067" s="53" t="s">
        <v>1627</v>
      </c>
      <c r="M1067" s="56" t="s">
        <v>123</v>
      </c>
      <c r="N1067" s="52"/>
      <c r="O1067" s="53" t="s">
        <v>1627</v>
      </c>
      <c r="P1067" s="53" t="s">
        <v>1500</v>
      </c>
      <c r="Q1067" s="52"/>
      <c r="R1067" s="52"/>
      <c r="S1067" s="54"/>
      <c r="T1067" s="52"/>
      <c r="U1067" s="54">
        <f t="shared" si="71"/>
        <v>433928.57142857148</v>
      </c>
      <c r="V1067" s="54">
        <v>486000</v>
      </c>
      <c r="W1067" s="52"/>
      <c r="X1067" s="52">
        <v>2012</v>
      </c>
      <c r="Y1067" s="52"/>
    </row>
    <row r="1068" spans="2:25" s="55" customFormat="1" ht="102" outlineLevel="1">
      <c r="B1068" s="52" t="s">
        <v>563</v>
      </c>
      <c r="C1068" s="78" t="s">
        <v>246</v>
      </c>
      <c r="D1068" s="52" t="s">
        <v>323</v>
      </c>
      <c r="E1068" s="56" t="s">
        <v>171</v>
      </c>
      <c r="F1068" s="56" t="s">
        <v>1578</v>
      </c>
      <c r="G1068" s="56"/>
      <c r="H1068" s="52" t="s">
        <v>243</v>
      </c>
      <c r="I1068" s="52">
        <v>100</v>
      </c>
      <c r="J1068" s="52">
        <v>590000000</v>
      </c>
      <c r="K1068" s="56" t="s">
        <v>103</v>
      </c>
      <c r="L1068" s="53" t="s">
        <v>1627</v>
      </c>
      <c r="M1068" s="56" t="s">
        <v>103</v>
      </c>
      <c r="N1068" s="52"/>
      <c r="O1068" s="53" t="s">
        <v>1627</v>
      </c>
      <c r="P1068" s="53" t="s">
        <v>1500</v>
      </c>
      <c r="Q1068" s="52"/>
      <c r="R1068" s="52"/>
      <c r="S1068" s="54"/>
      <c r="T1068" s="52"/>
      <c r="U1068" s="54">
        <f t="shared" si="71"/>
        <v>441964.28571428568</v>
      </c>
      <c r="V1068" s="54">
        <v>495000</v>
      </c>
      <c r="W1068" s="52"/>
      <c r="X1068" s="52">
        <v>2012</v>
      </c>
      <c r="Y1068" s="52"/>
    </row>
    <row r="1069" spans="2:25" s="55" customFormat="1" ht="102" outlineLevel="1">
      <c r="B1069" s="52" t="s">
        <v>564</v>
      </c>
      <c r="C1069" s="78" t="s">
        <v>246</v>
      </c>
      <c r="D1069" s="52" t="s">
        <v>323</v>
      </c>
      <c r="E1069" s="56" t="s">
        <v>171</v>
      </c>
      <c r="F1069" s="56" t="s">
        <v>1578</v>
      </c>
      <c r="G1069" s="56"/>
      <c r="H1069" s="52" t="s">
        <v>243</v>
      </c>
      <c r="I1069" s="52">
        <v>100</v>
      </c>
      <c r="J1069" s="52">
        <v>510000000</v>
      </c>
      <c r="K1069" s="63" t="s">
        <v>104</v>
      </c>
      <c r="L1069" s="53" t="s">
        <v>1627</v>
      </c>
      <c r="M1069" s="63" t="s">
        <v>104</v>
      </c>
      <c r="N1069" s="52"/>
      <c r="O1069" s="53" t="s">
        <v>1627</v>
      </c>
      <c r="P1069" s="53" t="s">
        <v>1500</v>
      </c>
      <c r="Q1069" s="52"/>
      <c r="R1069" s="52"/>
      <c r="S1069" s="54"/>
      <c r="T1069" s="52"/>
      <c r="U1069" s="54">
        <f t="shared" si="71"/>
        <v>441964.28571428568</v>
      </c>
      <c r="V1069" s="54">
        <v>495000</v>
      </c>
      <c r="W1069" s="52"/>
      <c r="X1069" s="52">
        <v>2012</v>
      </c>
      <c r="Y1069" s="52"/>
    </row>
    <row r="1070" spans="2:25" s="55" customFormat="1" ht="102" outlineLevel="1">
      <c r="B1070" s="52" t="s">
        <v>565</v>
      </c>
      <c r="C1070" s="78" t="s">
        <v>246</v>
      </c>
      <c r="D1070" s="52" t="s">
        <v>323</v>
      </c>
      <c r="E1070" s="56" t="s">
        <v>342</v>
      </c>
      <c r="F1070" s="53" t="s">
        <v>1499</v>
      </c>
      <c r="G1070" s="53"/>
      <c r="H1070" s="52" t="s">
        <v>243</v>
      </c>
      <c r="I1070" s="52">
        <v>100</v>
      </c>
      <c r="J1070" s="52">
        <v>110000000</v>
      </c>
      <c r="K1070" s="56" t="s">
        <v>125</v>
      </c>
      <c r="L1070" s="52" t="s">
        <v>1468</v>
      </c>
      <c r="M1070" s="56" t="s">
        <v>125</v>
      </c>
      <c r="N1070" s="52"/>
      <c r="O1070" s="53" t="s">
        <v>1975</v>
      </c>
      <c r="P1070" s="53" t="s">
        <v>1500</v>
      </c>
      <c r="Q1070" s="52"/>
      <c r="R1070" s="52"/>
      <c r="S1070" s="54"/>
      <c r="T1070" s="52"/>
      <c r="U1070" s="54">
        <f t="shared" si="71"/>
        <v>280395.64</v>
      </c>
      <c r="V1070" s="54">
        <f>'[2]Прочие услуги'!$B$36</f>
        <v>314043.11680000002</v>
      </c>
      <c r="W1070" s="52"/>
      <c r="X1070" s="52">
        <v>2012</v>
      </c>
      <c r="Y1070" s="52"/>
    </row>
    <row r="1071" spans="2:25" s="55" customFormat="1" ht="102" outlineLevel="1">
      <c r="B1071" s="52" t="s">
        <v>566</v>
      </c>
      <c r="C1071" s="78" t="s">
        <v>246</v>
      </c>
      <c r="D1071" s="52" t="s">
        <v>323</v>
      </c>
      <c r="E1071" s="56" t="s">
        <v>342</v>
      </c>
      <c r="F1071" s="53" t="s">
        <v>1499</v>
      </c>
      <c r="G1071" s="53"/>
      <c r="H1071" s="52" t="s">
        <v>243</v>
      </c>
      <c r="I1071" s="52">
        <v>100</v>
      </c>
      <c r="J1071" s="52">
        <v>190000000</v>
      </c>
      <c r="K1071" s="56" t="s">
        <v>117</v>
      </c>
      <c r="L1071" s="52" t="s">
        <v>1468</v>
      </c>
      <c r="M1071" s="56" t="s">
        <v>117</v>
      </c>
      <c r="N1071" s="52"/>
      <c r="O1071" s="53" t="s">
        <v>1975</v>
      </c>
      <c r="P1071" s="53" t="s">
        <v>1500</v>
      </c>
      <c r="Q1071" s="52"/>
      <c r="R1071" s="52"/>
      <c r="S1071" s="54"/>
      <c r="T1071" s="52"/>
      <c r="U1071" s="54">
        <f t="shared" si="71"/>
        <v>173892.85714285713</v>
      </c>
      <c r="V1071" s="54">
        <f>'[2]Прочие услуги'!$B$32</f>
        <v>194760</v>
      </c>
      <c r="W1071" s="52"/>
      <c r="X1071" s="52">
        <v>2012</v>
      </c>
      <c r="Y1071" s="52"/>
    </row>
    <row r="1072" spans="2:25" s="55" customFormat="1" ht="102" outlineLevel="1">
      <c r="B1072" s="52" t="s">
        <v>567</v>
      </c>
      <c r="C1072" s="78" t="s">
        <v>246</v>
      </c>
      <c r="D1072" s="52" t="s">
        <v>323</v>
      </c>
      <c r="E1072" s="56" t="s">
        <v>342</v>
      </c>
      <c r="F1072" s="53" t="s">
        <v>1499</v>
      </c>
      <c r="G1072" s="53"/>
      <c r="H1072" s="52" t="s">
        <v>243</v>
      </c>
      <c r="I1072" s="52">
        <v>100</v>
      </c>
      <c r="J1072" s="52">
        <v>270000000</v>
      </c>
      <c r="K1072" s="56" t="s">
        <v>98</v>
      </c>
      <c r="L1072" s="52" t="s">
        <v>1468</v>
      </c>
      <c r="M1072" s="56" t="s">
        <v>98</v>
      </c>
      <c r="N1072" s="52"/>
      <c r="O1072" s="53" t="s">
        <v>1975</v>
      </c>
      <c r="P1072" s="53" t="s">
        <v>1500</v>
      </c>
      <c r="Q1072" s="52"/>
      <c r="R1072" s="52"/>
      <c r="S1072" s="54"/>
      <c r="T1072" s="52"/>
      <c r="U1072" s="54">
        <f t="shared" si="71"/>
        <v>257142.85714285716</v>
      </c>
      <c r="V1072" s="54">
        <f>'[2]Прочие услуги'!$B$39</f>
        <v>288000</v>
      </c>
      <c r="W1072" s="52"/>
      <c r="X1072" s="52">
        <v>2012</v>
      </c>
      <c r="Y1072" s="52"/>
    </row>
    <row r="1073" spans="2:26" s="55" customFormat="1" ht="102" outlineLevel="1">
      <c r="B1073" s="52" t="s">
        <v>568</v>
      </c>
      <c r="C1073" s="78" t="s">
        <v>246</v>
      </c>
      <c r="D1073" s="52" t="s">
        <v>323</v>
      </c>
      <c r="E1073" s="56" t="s">
        <v>342</v>
      </c>
      <c r="F1073" s="53" t="s">
        <v>1499</v>
      </c>
      <c r="G1073" s="53"/>
      <c r="H1073" s="52" t="s">
        <v>243</v>
      </c>
      <c r="I1073" s="52">
        <v>100</v>
      </c>
      <c r="J1073" s="52">
        <v>430000000</v>
      </c>
      <c r="K1073" s="56" t="s">
        <v>122</v>
      </c>
      <c r="L1073" s="52" t="s">
        <v>1468</v>
      </c>
      <c r="M1073" s="56" t="s">
        <v>122</v>
      </c>
      <c r="N1073" s="52"/>
      <c r="O1073" s="53" t="s">
        <v>1975</v>
      </c>
      <c r="P1073" s="53" t="s">
        <v>1500</v>
      </c>
      <c r="Q1073" s="52"/>
      <c r="R1073" s="52"/>
      <c r="S1073" s="54"/>
      <c r="T1073" s="52"/>
      <c r="U1073" s="54">
        <f t="shared" si="71"/>
        <v>321428.57142857142</v>
      </c>
      <c r="V1073" s="54">
        <f>'[2]Прочие услуги'!$B$41</f>
        <v>360000</v>
      </c>
      <c r="W1073" s="52"/>
      <c r="X1073" s="52">
        <v>2012</v>
      </c>
      <c r="Y1073" s="52"/>
    </row>
    <row r="1074" spans="2:26" s="55" customFormat="1" ht="102" outlineLevel="1">
      <c r="B1074" s="52" t="s">
        <v>569</v>
      </c>
      <c r="C1074" s="78" t="s">
        <v>246</v>
      </c>
      <c r="D1074" s="52" t="s">
        <v>323</v>
      </c>
      <c r="E1074" s="56" t="s">
        <v>342</v>
      </c>
      <c r="F1074" s="53" t="s">
        <v>1499</v>
      </c>
      <c r="G1074" s="53"/>
      <c r="H1074" s="52" t="s">
        <v>243</v>
      </c>
      <c r="I1074" s="52">
        <v>100</v>
      </c>
      <c r="J1074" s="52">
        <v>550000000</v>
      </c>
      <c r="K1074" s="56" t="s">
        <v>124</v>
      </c>
      <c r="L1074" s="52" t="s">
        <v>1468</v>
      </c>
      <c r="M1074" s="56" t="s">
        <v>124</v>
      </c>
      <c r="N1074" s="52"/>
      <c r="O1074" s="53" t="s">
        <v>1975</v>
      </c>
      <c r="P1074" s="53" t="s">
        <v>1500</v>
      </c>
      <c r="Q1074" s="52"/>
      <c r="R1074" s="52"/>
      <c r="S1074" s="54"/>
      <c r="T1074" s="52"/>
      <c r="U1074" s="54">
        <f t="shared" si="71"/>
        <v>179810</v>
      </c>
      <c r="V1074" s="54">
        <f>'[2]Прочие услуги'!$B$42</f>
        <v>201387.2</v>
      </c>
      <c r="W1074" s="52"/>
      <c r="X1074" s="52">
        <v>2012</v>
      </c>
      <c r="Y1074" s="52"/>
    </row>
    <row r="1075" spans="2:26" s="55" customFormat="1" ht="102" outlineLevel="1">
      <c r="B1075" s="52" t="s">
        <v>570</v>
      </c>
      <c r="C1075" s="78" t="s">
        <v>246</v>
      </c>
      <c r="D1075" s="52" t="s">
        <v>323</v>
      </c>
      <c r="E1075" s="56" t="s">
        <v>342</v>
      </c>
      <c r="F1075" s="53" t="s">
        <v>1499</v>
      </c>
      <c r="G1075" s="53"/>
      <c r="H1075" s="52" t="s">
        <v>243</v>
      </c>
      <c r="I1075" s="52"/>
      <c r="J1075" s="52">
        <v>590000000</v>
      </c>
      <c r="K1075" s="56" t="s">
        <v>103</v>
      </c>
      <c r="L1075" s="52" t="s">
        <v>1468</v>
      </c>
      <c r="M1075" s="56" t="s">
        <v>103</v>
      </c>
      <c r="N1075" s="52"/>
      <c r="O1075" s="53" t="s">
        <v>1975</v>
      </c>
      <c r="P1075" s="53" t="s">
        <v>1500</v>
      </c>
      <c r="Q1075" s="52"/>
      <c r="R1075" s="52"/>
      <c r="S1075" s="54"/>
      <c r="T1075" s="52"/>
      <c r="U1075" s="54">
        <f t="shared" si="71"/>
        <v>119250</v>
      </c>
      <c r="V1075" s="54">
        <f>'[2]Прочие услуги'!$B$43</f>
        <v>133560</v>
      </c>
      <c r="W1075" s="52"/>
      <c r="X1075" s="52">
        <v>2012</v>
      </c>
      <c r="Y1075" s="52"/>
    </row>
    <row r="1076" spans="2:26" s="55" customFormat="1" ht="114.75">
      <c r="B1076" s="52" t="s">
        <v>571</v>
      </c>
      <c r="C1076" s="78" t="s">
        <v>246</v>
      </c>
      <c r="D1076" s="52" t="s">
        <v>2335</v>
      </c>
      <c r="E1076" s="56" t="s">
        <v>1535</v>
      </c>
      <c r="F1076" s="53" t="s">
        <v>1470</v>
      </c>
      <c r="G1076" s="53"/>
      <c r="H1076" s="52" t="s">
        <v>242</v>
      </c>
      <c r="I1076" s="52">
        <v>100</v>
      </c>
      <c r="J1076" s="52">
        <v>751000000</v>
      </c>
      <c r="K1076" s="53" t="s">
        <v>2290</v>
      </c>
      <c r="L1076" s="52" t="s">
        <v>1468</v>
      </c>
      <c r="M1076" s="53" t="s">
        <v>2290</v>
      </c>
      <c r="N1076" s="52"/>
      <c r="O1076" s="53" t="s">
        <v>1975</v>
      </c>
      <c r="P1076" s="53" t="s">
        <v>1836</v>
      </c>
      <c r="Q1076" s="52"/>
      <c r="R1076" s="52"/>
      <c r="S1076" s="54"/>
      <c r="T1076" s="52"/>
      <c r="U1076" s="54">
        <f t="shared" si="71"/>
        <v>0</v>
      </c>
      <c r="V1076" s="54">
        <v>0</v>
      </c>
      <c r="W1076" s="52"/>
      <c r="X1076" s="52">
        <v>2012</v>
      </c>
      <c r="Y1076" s="52">
        <v>21</v>
      </c>
    </row>
    <row r="1077" spans="2:26" s="55" customFormat="1" ht="114.75">
      <c r="B1077" s="52" t="s">
        <v>2572</v>
      </c>
      <c r="C1077" s="78" t="s">
        <v>246</v>
      </c>
      <c r="D1077" s="52" t="s">
        <v>2335</v>
      </c>
      <c r="E1077" s="56" t="s">
        <v>1535</v>
      </c>
      <c r="F1077" s="53" t="s">
        <v>1470</v>
      </c>
      <c r="G1077" s="53"/>
      <c r="H1077" s="52" t="s">
        <v>242</v>
      </c>
      <c r="I1077" s="52">
        <v>100</v>
      </c>
      <c r="J1077" s="52">
        <v>751000000</v>
      </c>
      <c r="K1077" s="53" t="s">
        <v>2290</v>
      </c>
      <c r="L1077" s="52" t="s">
        <v>1468</v>
      </c>
      <c r="M1077" s="53" t="s">
        <v>2290</v>
      </c>
      <c r="N1077" s="52"/>
      <c r="O1077" s="53" t="s">
        <v>1975</v>
      </c>
      <c r="P1077" s="53" t="s">
        <v>1836</v>
      </c>
      <c r="Q1077" s="52"/>
      <c r="R1077" s="52"/>
      <c r="S1077" s="54"/>
      <c r="T1077" s="52"/>
      <c r="U1077" s="54">
        <f t="shared" si="71"/>
        <v>0</v>
      </c>
      <c r="V1077" s="54">
        <v>0</v>
      </c>
      <c r="W1077" s="52"/>
      <c r="X1077" s="52">
        <v>2012</v>
      </c>
      <c r="Y1077" s="52">
        <v>21</v>
      </c>
    </row>
    <row r="1078" spans="2:26" s="55" customFormat="1" ht="114.75">
      <c r="B1078" s="52" t="s">
        <v>2635</v>
      </c>
      <c r="C1078" s="78" t="s">
        <v>246</v>
      </c>
      <c r="D1078" s="52" t="s">
        <v>2335</v>
      </c>
      <c r="E1078" s="56" t="s">
        <v>1535</v>
      </c>
      <c r="F1078" s="53" t="s">
        <v>1470</v>
      </c>
      <c r="G1078" s="53"/>
      <c r="H1078" s="52" t="s">
        <v>242</v>
      </c>
      <c r="I1078" s="52">
        <v>100</v>
      </c>
      <c r="J1078" s="52">
        <v>751000000</v>
      </c>
      <c r="K1078" s="53" t="s">
        <v>2290</v>
      </c>
      <c r="L1078" s="52" t="s">
        <v>1468</v>
      </c>
      <c r="M1078" s="53" t="s">
        <v>2290</v>
      </c>
      <c r="N1078" s="52"/>
      <c r="O1078" s="53" t="s">
        <v>1975</v>
      </c>
      <c r="P1078" s="53" t="s">
        <v>1836</v>
      </c>
      <c r="Q1078" s="52"/>
      <c r="R1078" s="52"/>
      <c r="S1078" s="54"/>
      <c r="T1078" s="52"/>
      <c r="U1078" s="54">
        <f t="shared" si="71"/>
        <v>7829939.2857142854</v>
      </c>
      <c r="V1078" s="54">
        <f>9287760-518228</f>
        <v>8769532</v>
      </c>
      <c r="W1078" s="52"/>
      <c r="X1078" s="52">
        <v>2012</v>
      </c>
      <c r="Y1078" s="52"/>
    </row>
    <row r="1079" spans="2:26" s="55" customFormat="1" ht="102">
      <c r="B1079" s="52" t="s">
        <v>572</v>
      </c>
      <c r="C1079" s="78" t="s">
        <v>246</v>
      </c>
      <c r="D1079" s="52" t="s">
        <v>322</v>
      </c>
      <c r="E1079" s="56" t="s">
        <v>223</v>
      </c>
      <c r="F1079" s="56" t="s">
        <v>2418</v>
      </c>
      <c r="G1079" s="56"/>
      <c r="H1079" s="52" t="s">
        <v>243</v>
      </c>
      <c r="I1079" s="52">
        <v>100</v>
      </c>
      <c r="J1079" s="52">
        <v>510000000</v>
      </c>
      <c r="K1079" s="63" t="s">
        <v>104</v>
      </c>
      <c r="L1079" s="52" t="s">
        <v>1468</v>
      </c>
      <c r="M1079" s="63" t="s">
        <v>1675</v>
      </c>
      <c r="N1079" s="52"/>
      <c r="O1079" s="53" t="s">
        <v>1975</v>
      </c>
      <c r="P1079" s="53" t="s">
        <v>1469</v>
      </c>
      <c r="Q1079" s="52"/>
      <c r="R1079" s="52"/>
      <c r="S1079" s="54"/>
      <c r="T1079" s="52"/>
      <c r="U1079" s="54">
        <f t="shared" si="71"/>
        <v>1478892.857142857</v>
      </c>
      <c r="V1079" s="54">
        <f>'[2]Прочие услуги'!$C$31</f>
        <v>1656360</v>
      </c>
      <c r="W1079" s="52"/>
      <c r="X1079" s="52">
        <v>2012</v>
      </c>
      <c r="Y1079" s="52"/>
    </row>
    <row r="1080" spans="2:26" s="55" customFormat="1" ht="102">
      <c r="B1080" s="52" t="s">
        <v>573</v>
      </c>
      <c r="C1080" s="78" t="s">
        <v>246</v>
      </c>
      <c r="D1080" s="52" t="s">
        <v>2417</v>
      </c>
      <c r="E1080" s="56" t="s">
        <v>2419</v>
      </c>
      <c r="F1080" s="56" t="s">
        <v>2420</v>
      </c>
      <c r="G1080" s="56"/>
      <c r="H1080" s="52" t="s">
        <v>243</v>
      </c>
      <c r="I1080" s="52">
        <v>100</v>
      </c>
      <c r="J1080" s="52">
        <v>110000000</v>
      </c>
      <c r="K1080" s="56" t="s">
        <v>125</v>
      </c>
      <c r="L1080" s="56" t="s">
        <v>1627</v>
      </c>
      <c r="M1080" s="56" t="s">
        <v>125</v>
      </c>
      <c r="N1080" s="52"/>
      <c r="O1080" s="56" t="s">
        <v>1627</v>
      </c>
      <c r="P1080" s="53" t="s">
        <v>1469</v>
      </c>
      <c r="Q1080" s="52"/>
      <c r="R1080" s="52"/>
      <c r="S1080" s="54"/>
      <c r="T1080" s="52"/>
      <c r="U1080" s="54">
        <f t="shared" ref="U1080" si="72">V1080/112*100</f>
        <v>892857.14285714296</v>
      </c>
      <c r="V1080" s="54">
        <v>1000000</v>
      </c>
      <c r="W1080" s="52"/>
      <c r="X1080" s="52">
        <v>2012</v>
      </c>
      <c r="Y1080" s="52"/>
    </row>
    <row r="1081" spans="2:26" s="55" customFormat="1" ht="102">
      <c r="B1081" s="52" t="s">
        <v>574</v>
      </c>
      <c r="C1081" s="78" t="s">
        <v>246</v>
      </c>
      <c r="D1081" s="52" t="s">
        <v>327</v>
      </c>
      <c r="E1081" s="56" t="s">
        <v>174</v>
      </c>
      <c r="F1081" s="56" t="s">
        <v>1477</v>
      </c>
      <c r="G1081" s="56"/>
      <c r="H1081" s="52" t="s">
        <v>245</v>
      </c>
      <c r="I1081" s="52">
        <v>100</v>
      </c>
      <c r="J1081" s="52">
        <v>110000000</v>
      </c>
      <c r="K1081" s="56" t="s">
        <v>125</v>
      </c>
      <c r="L1081" s="52" t="s">
        <v>1468</v>
      </c>
      <c r="M1081" s="56" t="s">
        <v>125</v>
      </c>
      <c r="N1081" s="52"/>
      <c r="O1081" s="53" t="s">
        <v>1975</v>
      </c>
      <c r="P1081" s="53" t="s">
        <v>1469</v>
      </c>
      <c r="Q1081" s="52"/>
      <c r="R1081" s="52"/>
      <c r="S1081" s="54"/>
      <c r="T1081" s="52"/>
      <c r="U1081" s="54">
        <f t="shared" si="71"/>
        <v>4200000</v>
      </c>
      <c r="V1081" s="54">
        <v>4704000</v>
      </c>
      <c r="W1081" s="52"/>
      <c r="X1081" s="52">
        <v>2012</v>
      </c>
      <c r="Y1081" s="52"/>
    </row>
    <row r="1082" spans="2:26" s="55" customFormat="1" ht="102">
      <c r="B1082" s="52" t="s">
        <v>575</v>
      </c>
      <c r="C1082" s="78" t="s">
        <v>246</v>
      </c>
      <c r="D1082" s="52" t="s">
        <v>327</v>
      </c>
      <c r="E1082" s="56" t="s">
        <v>174</v>
      </c>
      <c r="F1082" s="56" t="s">
        <v>1477</v>
      </c>
      <c r="G1082" s="56"/>
      <c r="H1082" s="52" t="s">
        <v>245</v>
      </c>
      <c r="I1082" s="52">
        <v>100</v>
      </c>
      <c r="J1082" s="52">
        <v>150000000</v>
      </c>
      <c r="K1082" s="56" t="s">
        <v>126</v>
      </c>
      <c r="L1082" s="52" t="s">
        <v>1468</v>
      </c>
      <c r="M1082" s="56" t="s">
        <v>126</v>
      </c>
      <c r="N1082" s="52"/>
      <c r="O1082" s="53" t="s">
        <v>1975</v>
      </c>
      <c r="P1082" s="53" t="s">
        <v>1469</v>
      </c>
      <c r="Q1082" s="52"/>
      <c r="R1082" s="52"/>
      <c r="S1082" s="54"/>
      <c r="T1082" s="52"/>
      <c r="U1082" s="54">
        <f t="shared" si="71"/>
        <v>3750000</v>
      </c>
      <c r="V1082" s="54">
        <v>4200000</v>
      </c>
      <c r="W1082" s="52"/>
      <c r="X1082" s="52">
        <v>2012</v>
      </c>
      <c r="Y1082" s="52"/>
    </row>
    <row r="1083" spans="2:26" s="55" customFormat="1" ht="102">
      <c r="B1083" s="52" t="s">
        <v>576</v>
      </c>
      <c r="C1083" s="78" t="s">
        <v>246</v>
      </c>
      <c r="D1083" s="52" t="s">
        <v>327</v>
      </c>
      <c r="E1083" s="56" t="s">
        <v>174</v>
      </c>
      <c r="F1083" s="56" t="s">
        <v>1477</v>
      </c>
      <c r="G1083" s="56"/>
      <c r="H1083" s="52" t="s">
        <v>245</v>
      </c>
      <c r="I1083" s="52">
        <v>100</v>
      </c>
      <c r="J1083" s="52">
        <v>190000000</v>
      </c>
      <c r="K1083" s="56" t="s">
        <v>117</v>
      </c>
      <c r="L1083" s="52" t="s">
        <v>1468</v>
      </c>
      <c r="M1083" s="56" t="s">
        <v>117</v>
      </c>
      <c r="N1083" s="52"/>
      <c r="O1083" s="53" t="s">
        <v>1975</v>
      </c>
      <c r="P1083" s="53" t="s">
        <v>1469</v>
      </c>
      <c r="Q1083" s="52"/>
      <c r="R1083" s="52"/>
      <c r="S1083" s="54"/>
      <c r="T1083" s="52"/>
      <c r="U1083" s="54">
        <f t="shared" si="71"/>
        <v>2892857.1428571427</v>
      </c>
      <c r="V1083" s="54">
        <v>3240000</v>
      </c>
      <c r="W1083" s="52"/>
      <c r="X1083" s="52">
        <v>2012</v>
      </c>
      <c r="Y1083" s="52"/>
    </row>
    <row r="1084" spans="2:26" s="55" customFormat="1" ht="102">
      <c r="B1084" s="52" t="s">
        <v>577</v>
      </c>
      <c r="C1084" s="78" t="s">
        <v>246</v>
      </c>
      <c r="D1084" s="52" t="s">
        <v>327</v>
      </c>
      <c r="E1084" s="56" t="s">
        <v>174</v>
      </c>
      <c r="F1084" s="56" t="s">
        <v>1477</v>
      </c>
      <c r="G1084" s="56"/>
      <c r="H1084" s="52" t="s">
        <v>242</v>
      </c>
      <c r="I1084" s="52">
        <v>100</v>
      </c>
      <c r="J1084" s="52">
        <v>711000000</v>
      </c>
      <c r="K1084" s="56" t="s">
        <v>151</v>
      </c>
      <c r="L1084" s="52" t="s">
        <v>1468</v>
      </c>
      <c r="M1084" s="53" t="s">
        <v>1816</v>
      </c>
      <c r="N1084" s="52"/>
      <c r="O1084" s="53" t="s">
        <v>1975</v>
      </c>
      <c r="P1084" s="53" t="s">
        <v>1469</v>
      </c>
      <c r="Q1084" s="52"/>
      <c r="R1084" s="52"/>
      <c r="S1084" s="54"/>
      <c r="T1084" s="52"/>
      <c r="U1084" s="54">
        <f t="shared" si="71"/>
        <v>21870000</v>
      </c>
      <c r="V1084" s="54">
        <v>24494400</v>
      </c>
      <c r="W1084" s="52"/>
      <c r="X1084" s="52">
        <v>2012</v>
      </c>
      <c r="Y1084" s="52"/>
    </row>
    <row r="1085" spans="2:26" s="55" customFormat="1" ht="102" outlineLevel="1">
      <c r="B1085" s="52" t="s">
        <v>578</v>
      </c>
      <c r="C1085" s="78" t="s">
        <v>246</v>
      </c>
      <c r="D1085" s="52" t="s">
        <v>327</v>
      </c>
      <c r="E1085" s="56" t="s">
        <v>174</v>
      </c>
      <c r="F1085" s="56" t="s">
        <v>1477</v>
      </c>
      <c r="G1085" s="56"/>
      <c r="H1085" s="52" t="s">
        <v>245</v>
      </c>
      <c r="I1085" s="52">
        <v>100</v>
      </c>
      <c r="J1085" s="52">
        <v>230000000</v>
      </c>
      <c r="K1085" s="56" t="s">
        <v>118</v>
      </c>
      <c r="L1085" s="52" t="s">
        <v>1468</v>
      </c>
      <c r="M1085" s="56" t="s">
        <v>118</v>
      </c>
      <c r="N1085" s="52"/>
      <c r="O1085" s="53" t="s">
        <v>1975</v>
      </c>
      <c r="P1085" s="53" t="s">
        <v>1469</v>
      </c>
      <c r="Q1085" s="52"/>
      <c r="R1085" s="52"/>
      <c r="S1085" s="54"/>
      <c r="T1085" s="52"/>
      <c r="U1085" s="54">
        <f t="shared" si="71"/>
        <v>4351928.5714285718</v>
      </c>
      <c r="V1085" s="54">
        <v>4874160</v>
      </c>
      <c r="W1085" s="52"/>
      <c r="X1085" s="52">
        <v>2012</v>
      </c>
      <c r="Y1085" s="52"/>
      <c r="Z1085" s="186"/>
    </row>
    <row r="1086" spans="2:26" s="55" customFormat="1" ht="102" outlineLevel="1">
      <c r="B1086" s="52" t="s">
        <v>579</v>
      </c>
      <c r="C1086" s="78" t="s">
        <v>246</v>
      </c>
      <c r="D1086" s="52" t="s">
        <v>327</v>
      </c>
      <c r="E1086" s="56" t="s">
        <v>174</v>
      </c>
      <c r="F1086" s="56" t="s">
        <v>1477</v>
      </c>
      <c r="G1086" s="56"/>
      <c r="H1086" s="52" t="s">
        <v>245</v>
      </c>
      <c r="I1086" s="52">
        <v>100</v>
      </c>
      <c r="J1086" s="52">
        <v>630000000</v>
      </c>
      <c r="K1086" s="56" t="s">
        <v>97</v>
      </c>
      <c r="L1086" s="52" t="s">
        <v>2155</v>
      </c>
      <c r="M1086" s="56" t="s">
        <v>97</v>
      </c>
      <c r="N1086" s="52"/>
      <c r="O1086" s="53" t="s">
        <v>1975</v>
      </c>
      <c r="P1086" s="53" t="s">
        <v>1469</v>
      </c>
      <c r="Q1086" s="52"/>
      <c r="R1086" s="52"/>
      <c r="S1086" s="54"/>
      <c r="T1086" s="52"/>
      <c r="U1086" s="54">
        <f t="shared" si="71"/>
        <v>0</v>
      </c>
      <c r="V1086" s="54">
        <v>0</v>
      </c>
      <c r="W1086" s="52"/>
      <c r="X1086" s="52">
        <v>2012</v>
      </c>
      <c r="Y1086" s="52">
        <v>21</v>
      </c>
    </row>
    <row r="1087" spans="2:26" s="55" customFormat="1" ht="102" outlineLevel="1">
      <c r="B1087" s="52" t="s">
        <v>2573</v>
      </c>
      <c r="C1087" s="78" t="s">
        <v>246</v>
      </c>
      <c r="D1087" s="52" t="s">
        <v>327</v>
      </c>
      <c r="E1087" s="56" t="s">
        <v>174</v>
      </c>
      <c r="F1087" s="56" t="s">
        <v>1477</v>
      </c>
      <c r="G1087" s="56"/>
      <c r="H1087" s="52" t="s">
        <v>245</v>
      </c>
      <c r="I1087" s="52">
        <v>100</v>
      </c>
      <c r="J1087" s="52">
        <v>630000000</v>
      </c>
      <c r="K1087" s="56" t="s">
        <v>97</v>
      </c>
      <c r="L1087" s="52" t="s">
        <v>2155</v>
      </c>
      <c r="M1087" s="56" t="s">
        <v>97</v>
      </c>
      <c r="N1087" s="52"/>
      <c r="O1087" s="53" t="s">
        <v>1975</v>
      </c>
      <c r="P1087" s="53" t="s">
        <v>1469</v>
      </c>
      <c r="Q1087" s="52"/>
      <c r="R1087" s="52"/>
      <c r="S1087" s="54"/>
      <c r="T1087" s="52"/>
      <c r="U1087" s="54">
        <f t="shared" si="71"/>
        <v>4652678.5714285718</v>
      </c>
      <c r="V1087" s="54">
        <f>5400000-189000</f>
        <v>5211000</v>
      </c>
      <c r="W1087" s="52"/>
      <c r="X1087" s="52">
        <v>2012</v>
      </c>
      <c r="Y1087" s="52"/>
    </row>
    <row r="1088" spans="2:26" s="55" customFormat="1" ht="102" outlineLevel="1">
      <c r="B1088" s="52" t="s">
        <v>580</v>
      </c>
      <c r="C1088" s="78" t="s">
        <v>246</v>
      </c>
      <c r="D1088" s="52" t="s">
        <v>327</v>
      </c>
      <c r="E1088" s="56" t="s">
        <v>174</v>
      </c>
      <c r="F1088" s="56" t="s">
        <v>1477</v>
      </c>
      <c r="G1088" s="56"/>
      <c r="H1088" s="52" t="s">
        <v>245</v>
      </c>
      <c r="I1088" s="52">
        <v>100</v>
      </c>
      <c r="J1088" s="52">
        <v>310000000</v>
      </c>
      <c r="K1088" s="56" t="s">
        <v>119</v>
      </c>
      <c r="L1088" s="52" t="s">
        <v>1468</v>
      </c>
      <c r="M1088" s="56" t="s">
        <v>119</v>
      </c>
      <c r="N1088" s="52"/>
      <c r="O1088" s="53" t="s">
        <v>1975</v>
      </c>
      <c r="P1088" s="53" t="s">
        <v>1469</v>
      </c>
      <c r="Q1088" s="52"/>
      <c r="R1088" s="52"/>
      <c r="S1088" s="54"/>
      <c r="T1088" s="52"/>
      <c r="U1088" s="54">
        <f t="shared" si="71"/>
        <v>4676357.1428571427</v>
      </c>
      <c r="V1088" s="54">
        <v>5237520</v>
      </c>
      <c r="W1088" s="52"/>
      <c r="X1088" s="52">
        <v>2012</v>
      </c>
      <c r="Y1088" s="52"/>
    </row>
    <row r="1089" spans="2:25" s="55" customFormat="1" ht="102" outlineLevel="1">
      <c r="B1089" s="52" t="s">
        <v>581</v>
      </c>
      <c r="C1089" s="78" t="s">
        <v>246</v>
      </c>
      <c r="D1089" s="52" t="s">
        <v>327</v>
      </c>
      <c r="E1089" s="56" t="s">
        <v>174</v>
      </c>
      <c r="F1089" s="56" t="s">
        <v>1477</v>
      </c>
      <c r="G1089" s="56"/>
      <c r="H1089" s="52" t="s">
        <v>245</v>
      </c>
      <c r="I1089" s="52">
        <v>100</v>
      </c>
      <c r="J1089" s="52">
        <v>270000000</v>
      </c>
      <c r="K1089" s="56" t="s">
        <v>98</v>
      </c>
      <c r="L1089" s="52" t="s">
        <v>1468</v>
      </c>
      <c r="M1089" s="56" t="s">
        <v>98</v>
      </c>
      <c r="N1089" s="52"/>
      <c r="O1089" s="53" t="s">
        <v>1975</v>
      </c>
      <c r="P1089" s="53" t="s">
        <v>1469</v>
      </c>
      <c r="Q1089" s="52"/>
      <c r="R1089" s="52"/>
      <c r="S1089" s="54"/>
      <c r="T1089" s="52"/>
      <c r="U1089" s="54">
        <f t="shared" si="71"/>
        <v>3292500</v>
      </c>
      <c r="V1089" s="54">
        <v>3687600</v>
      </c>
      <c r="W1089" s="52"/>
      <c r="X1089" s="52">
        <v>2012</v>
      </c>
      <c r="Y1089" s="52"/>
    </row>
    <row r="1090" spans="2:25" s="55" customFormat="1" ht="93.75" customHeight="1" outlineLevel="1">
      <c r="B1090" s="52" t="s">
        <v>582</v>
      </c>
      <c r="C1090" s="78" t="s">
        <v>246</v>
      </c>
      <c r="D1090" s="52" t="s">
        <v>327</v>
      </c>
      <c r="E1090" s="56" t="s">
        <v>174</v>
      </c>
      <c r="F1090" s="56" t="s">
        <v>1477</v>
      </c>
      <c r="G1090" s="56"/>
      <c r="H1090" s="52" t="s">
        <v>2157</v>
      </c>
      <c r="I1090" s="52">
        <v>100</v>
      </c>
      <c r="J1090" s="52">
        <v>350000000</v>
      </c>
      <c r="K1090" s="56" t="s">
        <v>120</v>
      </c>
      <c r="L1090" s="52" t="s">
        <v>1468</v>
      </c>
      <c r="M1090" s="56" t="s">
        <v>120</v>
      </c>
      <c r="N1090" s="52"/>
      <c r="O1090" s="53" t="s">
        <v>1975</v>
      </c>
      <c r="P1090" s="53" t="s">
        <v>1469</v>
      </c>
      <c r="Q1090" s="52"/>
      <c r="R1090" s="52"/>
      <c r="S1090" s="54"/>
      <c r="T1090" s="52"/>
      <c r="U1090" s="54">
        <f t="shared" si="71"/>
        <v>5682857.1428571427</v>
      </c>
      <c r="V1090" s="54">
        <v>6364800</v>
      </c>
      <c r="W1090" s="52"/>
      <c r="X1090" s="52">
        <v>2012</v>
      </c>
      <c r="Y1090" s="53"/>
    </row>
    <row r="1091" spans="2:25" s="55" customFormat="1" ht="102" outlineLevel="1">
      <c r="B1091" s="52" t="s">
        <v>583</v>
      </c>
      <c r="C1091" s="78" t="s">
        <v>246</v>
      </c>
      <c r="D1091" s="52" t="s">
        <v>327</v>
      </c>
      <c r="E1091" s="56" t="s">
        <v>174</v>
      </c>
      <c r="F1091" s="56" t="s">
        <v>1477</v>
      </c>
      <c r="G1091" s="56"/>
      <c r="H1091" s="52" t="s">
        <v>245</v>
      </c>
      <c r="I1091" s="52">
        <v>100</v>
      </c>
      <c r="J1091" s="52">
        <v>390000000</v>
      </c>
      <c r="K1091" s="56" t="s">
        <v>121</v>
      </c>
      <c r="L1091" s="52" t="s">
        <v>1468</v>
      </c>
      <c r="M1091" s="56" t="s">
        <v>121</v>
      </c>
      <c r="N1091" s="52"/>
      <c r="O1091" s="53" t="s">
        <v>1975</v>
      </c>
      <c r="P1091" s="53" t="s">
        <v>1469</v>
      </c>
      <c r="Q1091" s="52"/>
      <c r="R1091" s="52"/>
      <c r="S1091" s="54"/>
      <c r="T1091" s="52"/>
      <c r="U1091" s="54">
        <f t="shared" si="71"/>
        <v>4700892.8571428573</v>
      </c>
      <c r="V1091" s="54">
        <v>5265000</v>
      </c>
      <c r="W1091" s="52"/>
      <c r="X1091" s="52">
        <v>2012</v>
      </c>
      <c r="Y1091" s="52"/>
    </row>
    <row r="1092" spans="2:25" s="55" customFormat="1" ht="102" outlineLevel="1">
      <c r="B1092" s="52" t="s">
        <v>584</v>
      </c>
      <c r="C1092" s="78" t="s">
        <v>246</v>
      </c>
      <c r="D1092" s="52" t="s">
        <v>327</v>
      </c>
      <c r="E1092" s="56" t="s">
        <v>174</v>
      </c>
      <c r="F1092" s="56" t="s">
        <v>1477</v>
      </c>
      <c r="G1092" s="56"/>
      <c r="H1092" s="52" t="s">
        <v>245</v>
      </c>
      <c r="I1092" s="52">
        <v>100</v>
      </c>
      <c r="J1092" s="52">
        <v>430000000</v>
      </c>
      <c r="K1092" s="56" t="s">
        <v>122</v>
      </c>
      <c r="L1092" s="138" t="s">
        <v>1468</v>
      </c>
      <c r="M1092" s="56" t="s">
        <v>122</v>
      </c>
      <c r="N1092" s="52"/>
      <c r="O1092" s="53" t="s">
        <v>1975</v>
      </c>
      <c r="P1092" s="53" t="s">
        <v>1469</v>
      </c>
      <c r="Q1092" s="52"/>
      <c r="R1092" s="52"/>
      <c r="S1092" s="54"/>
      <c r="T1092" s="52"/>
      <c r="U1092" s="54">
        <f t="shared" si="71"/>
        <v>3214285.7142857141</v>
      </c>
      <c r="V1092" s="54">
        <v>3600000</v>
      </c>
      <c r="W1092" s="52"/>
      <c r="X1092" s="52">
        <v>2012</v>
      </c>
      <c r="Y1092" s="52"/>
    </row>
    <row r="1093" spans="2:25" s="55" customFormat="1" ht="102" outlineLevel="1">
      <c r="B1093" s="52" t="s">
        <v>585</v>
      </c>
      <c r="C1093" s="78" t="s">
        <v>246</v>
      </c>
      <c r="D1093" s="52" t="s">
        <v>327</v>
      </c>
      <c r="E1093" s="56" t="s">
        <v>174</v>
      </c>
      <c r="F1093" s="56" t="s">
        <v>1477</v>
      </c>
      <c r="G1093" s="56"/>
      <c r="H1093" s="52" t="s">
        <v>242</v>
      </c>
      <c r="I1093" s="52">
        <v>100</v>
      </c>
      <c r="J1093" s="52">
        <v>470000000</v>
      </c>
      <c r="K1093" s="56" t="s">
        <v>123</v>
      </c>
      <c r="L1093" s="52" t="s">
        <v>1468</v>
      </c>
      <c r="M1093" s="56" t="s">
        <v>123</v>
      </c>
      <c r="N1093" s="52"/>
      <c r="O1093" s="53" t="s">
        <v>1975</v>
      </c>
      <c r="P1093" s="53" t="s">
        <v>1469</v>
      </c>
      <c r="Q1093" s="52"/>
      <c r="R1093" s="52"/>
      <c r="S1093" s="54"/>
      <c r="T1093" s="52"/>
      <c r="U1093" s="54">
        <f t="shared" si="71"/>
        <v>6316800</v>
      </c>
      <c r="V1093" s="54">
        <v>7074816</v>
      </c>
      <c r="W1093" s="52"/>
      <c r="X1093" s="52">
        <v>2012</v>
      </c>
      <c r="Y1093" s="52"/>
    </row>
    <row r="1094" spans="2:25" s="55" customFormat="1" ht="102" outlineLevel="1">
      <c r="B1094" s="52" t="s">
        <v>586</v>
      </c>
      <c r="C1094" s="78" t="s">
        <v>246</v>
      </c>
      <c r="D1094" s="52" t="s">
        <v>327</v>
      </c>
      <c r="E1094" s="56" t="s">
        <v>174</v>
      </c>
      <c r="F1094" s="56" t="s">
        <v>1477</v>
      </c>
      <c r="G1094" s="56"/>
      <c r="H1094" s="52" t="s">
        <v>245</v>
      </c>
      <c r="I1094" s="52">
        <v>100</v>
      </c>
      <c r="J1094" s="52">
        <v>550000000</v>
      </c>
      <c r="K1094" s="56" t="s">
        <v>124</v>
      </c>
      <c r="L1094" s="52" t="s">
        <v>1468</v>
      </c>
      <c r="M1094" s="56" t="s">
        <v>124</v>
      </c>
      <c r="N1094" s="52"/>
      <c r="O1094" s="53" t="s">
        <v>1975</v>
      </c>
      <c r="P1094" s="53" t="s">
        <v>1469</v>
      </c>
      <c r="Q1094" s="52"/>
      <c r="R1094" s="52"/>
      <c r="S1094" s="54"/>
      <c r="T1094" s="52"/>
      <c r="U1094" s="54">
        <f t="shared" si="71"/>
        <v>0</v>
      </c>
      <c r="V1094" s="54">
        <v>0</v>
      </c>
      <c r="W1094" s="52"/>
      <c r="X1094" s="52">
        <v>2012</v>
      </c>
      <c r="Y1094" s="52">
        <v>21</v>
      </c>
    </row>
    <row r="1095" spans="2:25" s="55" customFormat="1" ht="102" outlineLevel="1">
      <c r="B1095" s="52" t="s">
        <v>2725</v>
      </c>
      <c r="C1095" s="78" t="s">
        <v>246</v>
      </c>
      <c r="D1095" s="52" t="s">
        <v>327</v>
      </c>
      <c r="E1095" s="56" t="s">
        <v>174</v>
      </c>
      <c r="F1095" s="56" t="s">
        <v>1477</v>
      </c>
      <c r="G1095" s="56"/>
      <c r="H1095" s="52" t="s">
        <v>245</v>
      </c>
      <c r="I1095" s="52">
        <v>100</v>
      </c>
      <c r="J1095" s="52">
        <v>550000000</v>
      </c>
      <c r="K1095" s="56" t="s">
        <v>124</v>
      </c>
      <c r="L1095" s="52" t="s">
        <v>1468</v>
      </c>
      <c r="M1095" s="56" t="s">
        <v>124</v>
      </c>
      <c r="N1095" s="52"/>
      <c r="O1095" s="53" t="s">
        <v>1975</v>
      </c>
      <c r="P1095" s="53" t="s">
        <v>1469</v>
      </c>
      <c r="Q1095" s="52"/>
      <c r="R1095" s="52"/>
      <c r="S1095" s="54"/>
      <c r="T1095" s="52"/>
      <c r="U1095" s="54">
        <f t="shared" si="71"/>
        <v>5616000</v>
      </c>
      <c r="V1095" s="54">
        <f>4193280+2096640</f>
        <v>6289920</v>
      </c>
      <c r="W1095" s="52"/>
      <c r="X1095" s="52">
        <v>2012</v>
      </c>
      <c r="Y1095" s="52"/>
    </row>
    <row r="1096" spans="2:25" s="55" customFormat="1" ht="102" outlineLevel="1">
      <c r="B1096" s="52" t="s">
        <v>587</v>
      </c>
      <c r="C1096" s="78" t="s">
        <v>246</v>
      </c>
      <c r="D1096" s="52" t="s">
        <v>327</v>
      </c>
      <c r="E1096" s="56" t="s">
        <v>174</v>
      </c>
      <c r="F1096" s="56" t="s">
        <v>1477</v>
      </c>
      <c r="G1096" s="56"/>
      <c r="H1096" s="52" t="s">
        <v>245</v>
      </c>
      <c r="I1096" s="52">
        <v>100</v>
      </c>
      <c r="J1096" s="52">
        <v>590000000</v>
      </c>
      <c r="K1096" s="56" t="s">
        <v>103</v>
      </c>
      <c r="L1096" s="52" t="s">
        <v>1468</v>
      </c>
      <c r="M1096" s="56" t="s">
        <v>103</v>
      </c>
      <c r="N1096" s="52"/>
      <c r="O1096" s="53" t="s">
        <v>1975</v>
      </c>
      <c r="P1096" s="53" t="s">
        <v>1469</v>
      </c>
      <c r="Q1096" s="52"/>
      <c r="R1096" s="52"/>
      <c r="S1096" s="54"/>
      <c r="T1096" s="52"/>
      <c r="U1096" s="54">
        <f t="shared" si="71"/>
        <v>3312000</v>
      </c>
      <c r="V1096" s="54">
        <v>3709440</v>
      </c>
      <c r="W1096" s="52"/>
      <c r="X1096" s="52">
        <v>2012</v>
      </c>
      <c r="Y1096" s="52"/>
    </row>
    <row r="1097" spans="2:25" s="55" customFormat="1" ht="102" outlineLevel="1">
      <c r="B1097" s="52" t="s">
        <v>588</v>
      </c>
      <c r="C1097" s="78" t="s">
        <v>246</v>
      </c>
      <c r="D1097" s="52" t="s">
        <v>327</v>
      </c>
      <c r="E1097" s="56" t="s">
        <v>174</v>
      </c>
      <c r="F1097" s="56" t="s">
        <v>1477</v>
      </c>
      <c r="G1097" s="56"/>
      <c r="H1097" s="52" t="s">
        <v>245</v>
      </c>
      <c r="I1097" s="52">
        <v>100</v>
      </c>
      <c r="J1097" s="52">
        <v>510000000</v>
      </c>
      <c r="K1097" s="63" t="s">
        <v>104</v>
      </c>
      <c r="L1097" s="52" t="s">
        <v>1468</v>
      </c>
      <c r="M1097" s="63" t="s">
        <v>104</v>
      </c>
      <c r="N1097" s="52"/>
      <c r="O1097" s="53" t="s">
        <v>1975</v>
      </c>
      <c r="P1097" s="53" t="s">
        <v>1469</v>
      </c>
      <c r="Q1097" s="52"/>
      <c r="R1097" s="52"/>
      <c r="S1097" s="54"/>
      <c r="T1097" s="52"/>
      <c r="U1097" s="54">
        <f t="shared" si="71"/>
        <v>4553571.4285714282</v>
      </c>
      <c r="V1097" s="54">
        <v>5100000</v>
      </c>
      <c r="W1097" s="52"/>
      <c r="X1097" s="52">
        <v>2012</v>
      </c>
      <c r="Y1097" s="52"/>
    </row>
    <row r="1098" spans="2:25" s="55" customFormat="1" ht="102" outlineLevel="1">
      <c r="B1098" s="52" t="s">
        <v>1667</v>
      </c>
      <c r="C1098" s="78" t="s">
        <v>246</v>
      </c>
      <c r="D1098" s="52" t="s">
        <v>327</v>
      </c>
      <c r="E1098" s="56" t="s">
        <v>174</v>
      </c>
      <c r="F1098" s="56" t="s">
        <v>1477</v>
      </c>
      <c r="G1098" s="56"/>
      <c r="H1098" s="52" t="s">
        <v>243</v>
      </c>
      <c r="I1098" s="52">
        <v>100</v>
      </c>
      <c r="J1098" s="52">
        <v>630000000</v>
      </c>
      <c r="K1098" s="63" t="s">
        <v>97</v>
      </c>
      <c r="L1098" s="52" t="s">
        <v>2155</v>
      </c>
      <c r="M1098" s="63" t="s">
        <v>236</v>
      </c>
      <c r="N1098" s="52"/>
      <c r="O1098" s="53" t="s">
        <v>1975</v>
      </c>
      <c r="P1098" s="53" t="s">
        <v>1469</v>
      </c>
      <c r="Q1098" s="52"/>
      <c r="R1098" s="52"/>
      <c r="S1098" s="54"/>
      <c r="T1098" s="52"/>
      <c r="U1098" s="54">
        <f t="shared" si="71"/>
        <v>0</v>
      </c>
      <c r="V1098" s="54">
        <v>0</v>
      </c>
      <c r="W1098" s="52"/>
      <c r="X1098" s="52">
        <v>2012</v>
      </c>
      <c r="Y1098" s="52">
        <v>21</v>
      </c>
    </row>
    <row r="1099" spans="2:25" s="55" customFormat="1" ht="102" outlineLevel="1">
      <c r="B1099" s="52" t="s">
        <v>2574</v>
      </c>
      <c r="C1099" s="78" t="s">
        <v>246</v>
      </c>
      <c r="D1099" s="52" t="s">
        <v>327</v>
      </c>
      <c r="E1099" s="56" t="s">
        <v>174</v>
      </c>
      <c r="F1099" s="56" t="s">
        <v>1477</v>
      </c>
      <c r="G1099" s="56"/>
      <c r="H1099" s="52" t="s">
        <v>243</v>
      </c>
      <c r="I1099" s="52">
        <v>100</v>
      </c>
      <c r="J1099" s="52">
        <v>630000000</v>
      </c>
      <c r="K1099" s="63" t="s">
        <v>97</v>
      </c>
      <c r="L1099" s="52" t="s">
        <v>2155</v>
      </c>
      <c r="M1099" s="63" t="s">
        <v>236</v>
      </c>
      <c r="N1099" s="52"/>
      <c r="O1099" s="53" t="s">
        <v>1975</v>
      </c>
      <c r="P1099" s="53" t="s">
        <v>1469</v>
      </c>
      <c r="Q1099" s="52"/>
      <c r="R1099" s="52"/>
      <c r="S1099" s="54"/>
      <c r="T1099" s="52"/>
      <c r="U1099" s="54">
        <f t="shared" si="71"/>
        <v>436607.14285714284</v>
      </c>
      <c r="V1099" s="54">
        <f>300000+189000</f>
        <v>489000</v>
      </c>
      <c r="W1099" s="52"/>
      <c r="X1099" s="52">
        <v>2012</v>
      </c>
      <c r="Y1099" s="52"/>
    </row>
    <row r="1100" spans="2:25" s="55" customFormat="1" ht="102" outlineLevel="1">
      <c r="B1100" s="52" t="s">
        <v>589</v>
      </c>
      <c r="C1100" s="78" t="s">
        <v>246</v>
      </c>
      <c r="D1100" s="52" t="s">
        <v>327</v>
      </c>
      <c r="E1100" s="56" t="s">
        <v>174</v>
      </c>
      <c r="F1100" s="56" t="s">
        <v>1477</v>
      </c>
      <c r="G1100" s="56"/>
      <c r="H1100" s="52" t="s">
        <v>243</v>
      </c>
      <c r="I1100" s="52">
        <v>100</v>
      </c>
      <c r="J1100" s="52">
        <v>350000000</v>
      </c>
      <c r="K1100" s="63" t="s">
        <v>120</v>
      </c>
      <c r="L1100" s="52" t="s">
        <v>1468</v>
      </c>
      <c r="M1100" s="63" t="s">
        <v>237</v>
      </c>
      <c r="N1100" s="52"/>
      <c r="O1100" s="53" t="s">
        <v>1975</v>
      </c>
      <c r="P1100" s="53" t="s">
        <v>1469</v>
      </c>
      <c r="Q1100" s="52"/>
      <c r="R1100" s="52"/>
      <c r="S1100" s="54"/>
      <c r="T1100" s="52"/>
      <c r="U1100" s="54">
        <f t="shared" si="71"/>
        <v>207142.85714285716</v>
      </c>
      <c r="V1100" s="54">
        <v>232000</v>
      </c>
      <c r="W1100" s="52"/>
      <c r="X1100" s="52">
        <v>2012</v>
      </c>
      <c r="Y1100" s="52"/>
    </row>
    <row r="1101" spans="2:25" s="55" customFormat="1" ht="102" outlineLevel="1">
      <c r="B1101" s="52" t="s">
        <v>590</v>
      </c>
      <c r="C1101" s="78" t="s">
        <v>246</v>
      </c>
      <c r="D1101" s="52" t="s">
        <v>327</v>
      </c>
      <c r="E1101" s="56" t="s">
        <v>174</v>
      </c>
      <c r="F1101" s="56" t="s">
        <v>1477</v>
      </c>
      <c r="G1101" s="56"/>
      <c r="H1101" s="52" t="s">
        <v>243</v>
      </c>
      <c r="I1101" s="52">
        <v>100</v>
      </c>
      <c r="J1101" s="52">
        <v>390000000</v>
      </c>
      <c r="K1101" s="63" t="s">
        <v>121</v>
      </c>
      <c r="L1101" s="52" t="s">
        <v>1468</v>
      </c>
      <c r="M1101" s="63" t="s">
        <v>238</v>
      </c>
      <c r="N1101" s="52"/>
      <c r="O1101" s="53" t="s">
        <v>1975</v>
      </c>
      <c r="P1101" s="53" t="s">
        <v>1469</v>
      </c>
      <c r="Q1101" s="52"/>
      <c r="R1101" s="52"/>
      <c r="S1101" s="54"/>
      <c r="T1101" s="52"/>
      <c r="U1101" s="54">
        <f t="shared" si="71"/>
        <v>128571.42857142858</v>
      </c>
      <c r="V1101" s="54">
        <v>144000</v>
      </c>
      <c r="W1101" s="52"/>
      <c r="X1101" s="52">
        <v>2012</v>
      </c>
      <c r="Y1101" s="52"/>
    </row>
    <row r="1102" spans="2:25" s="55" customFormat="1" ht="127.5" outlineLevel="1">
      <c r="B1102" s="52" t="s">
        <v>1714</v>
      </c>
      <c r="C1102" s="78" t="s">
        <v>246</v>
      </c>
      <c r="D1102" s="52" t="s">
        <v>329</v>
      </c>
      <c r="E1102" s="56" t="s">
        <v>172</v>
      </c>
      <c r="F1102" s="53" t="s">
        <v>1513</v>
      </c>
      <c r="G1102" s="53"/>
      <c r="H1102" s="52" t="s">
        <v>243</v>
      </c>
      <c r="I1102" s="52">
        <v>100</v>
      </c>
      <c r="J1102" s="52">
        <v>751000000</v>
      </c>
      <c r="K1102" s="53" t="s">
        <v>2290</v>
      </c>
      <c r="L1102" s="53" t="s">
        <v>1627</v>
      </c>
      <c r="M1102" s="53" t="s">
        <v>2290</v>
      </c>
      <c r="N1102" s="52"/>
      <c r="O1102" s="53" t="s">
        <v>1975</v>
      </c>
      <c r="P1102" s="53" t="s">
        <v>1515</v>
      </c>
      <c r="Q1102" s="52"/>
      <c r="R1102" s="52"/>
      <c r="S1102" s="54"/>
      <c r="T1102" s="52"/>
      <c r="U1102" s="54">
        <f t="shared" si="71"/>
        <v>892857.14285714296</v>
      </c>
      <c r="V1102" s="54">
        <v>1000000</v>
      </c>
      <c r="W1102" s="52"/>
      <c r="X1102" s="52">
        <v>2012</v>
      </c>
      <c r="Y1102" s="52"/>
    </row>
    <row r="1103" spans="2:25" s="55" customFormat="1" ht="114.75" outlineLevel="1">
      <c r="B1103" s="52" t="s">
        <v>1718</v>
      </c>
      <c r="C1103" s="78" t="s">
        <v>246</v>
      </c>
      <c r="D1103" s="52" t="s">
        <v>328</v>
      </c>
      <c r="E1103" s="56" t="s">
        <v>173</v>
      </c>
      <c r="F1103" s="53" t="s">
        <v>1514</v>
      </c>
      <c r="G1103" s="53"/>
      <c r="H1103" s="52" t="s">
        <v>243</v>
      </c>
      <c r="I1103" s="52">
        <v>100</v>
      </c>
      <c r="J1103" s="52">
        <v>751000000</v>
      </c>
      <c r="K1103" s="53" t="s">
        <v>2290</v>
      </c>
      <c r="L1103" s="53" t="s">
        <v>1627</v>
      </c>
      <c r="M1103" s="53" t="s">
        <v>2290</v>
      </c>
      <c r="N1103" s="52"/>
      <c r="O1103" s="53" t="s">
        <v>1975</v>
      </c>
      <c r="P1103" s="53" t="s">
        <v>1516</v>
      </c>
      <c r="Q1103" s="52"/>
      <c r="R1103" s="52"/>
      <c r="S1103" s="54"/>
      <c r="T1103" s="52"/>
      <c r="U1103" s="54">
        <f t="shared" si="71"/>
        <v>2232142.8571428573</v>
      </c>
      <c r="V1103" s="54">
        <v>2500000</v>
      </c>
      <c r="W1103" s="52"/>
      <c r="X1103" s="52">
        <v>2012</v>
      </c>
      <c r="Y1103" s="52"/>
    </row>
    <row r="1104" spans="2:25" s="55" customFormat="1" ht="51" outlineLevel="1">
      <c r="B1104" s="52" t="s">
        <v>591</v>
      </c>
      <c r="C1104" s="78" t="s">
        <v>246</v>
      </c>
      <c r="D1104" s="57" t="s">
        <v>1615</v>
      </c>
      <c r="E1104" s="56" t="s">
        <v>335</v>
      </c>
      <c r="F1104" s="56" t="s">
        <v>335</v>
      </c>
      <c r="G1104" s="56"/>
      <c r="H1104" s="52" t="s">
        <v>242</v>
      </c>
      <c r="I1104" s="52">
        <v>100</v>
      </c>
      <c r="J1104" s="52">
        <v>751000000</v>
      </c>
      <c r="K1104" s="53" t="s">
        <v>2290</v>
      </c>
      <c r="L1104" s="53" t="s">
        <v>1501</v>
      </c>
      <c r="M1104" s="53" t="s">
        <v>1624</v>
      </c>
      <c r="N1104" s="52"/>
      <c r="O1104" s="53" t="s">
        <v>2284</v>
      </c>
      <c r="P1104" s="53" t="s">
        <v>1547</v>
      </c>
      <c r="Q1104" s="52"/>
      <c r="R1104" s="52"/>
      <c r="S1104" s="54"/>
      <c r="T1104" s="52"/>
      <c r="U1104" s="54">
        <f t="shared" ref="U1104:U1107" si="73">V1104/112*100</f>
        <v>7357142.8571428563</v>
      </c>
      <c r="V1104" s="54">
        <v>8240000</v>
      </c>
      <c r="W1104" s="52"/>
      <c r="X1104" s="52">
        <v>2012</v>
      </c>
      <c r="Y1104" s="52"/>
    </row>
    <row r="1105" spans="2:25" s="55" customFormat="1" ht="114.75" outlineLevel="1">
      <c r="B1105" s="52" t="s">
        <v>592</v>
      </c>
      <c r="C1105" s="78" t="s">
        <v>246</v>
      </c>
      <c r="D1105" s="52" t="s">
        <v>330</v>
      </c>
      <c r="E1105" s="56" t="s">
        <v>175</v>
      </c>
      <c r="F1105" s="56" t="s">
        <v>1476</v>
      </c>
      <c r="G1105" s="56"/>
      <c r="H1105" s="52" t="s">
        <v>242</v>
      </c>
      <c r="I1105" s="52">
        <v>90</v>
      </c>
      <c r="J1105" s="52">
        <v>751000000</v>
      </c>
      <c r="K1105" s="53" t="s">
        <v>2290</v>
      </c>
      <c r="L1105" s="53" t="s">
        <v>1503</v>
      </c>
      <c r="M1105" s="53" t="s">
        <v>2290</v>
      </c>
      <c r="N1105" s="52"/>
      <c r="O1105" s="53" t="s">
        <v>2285</v>
      </c>
      <c r="P1105" s="53" t="s">
        <v>1836</v>
      </c>
      <c r="Q1105" s="52"/>
      <c r="R1105" s="52"/>
      <c r="S1105" s="54"/>
      <c r="T1105" s="52"/>
      <c r="U1105" s="54">
        <f>V1105/112*100</f>
        <v>0</v>
      </c>
      <c r="V1105" s="54">
        <v>0</v>
      </c>
      <c r="W1105" s="52"/>
      <c r="X1105" s="52">
        <v>2012</v>
      </c>
      <c r="Y1105" s="52">
        <v>21</v>
      </c>
    </row>
    <row r="1106" spans="2:25" s="55" customFormat="1" ht="114.75" outlineLevel="1">
      <c r="B1106" s="52" t="s">
        <v>2575</v>
      </c>
      <c r="C1106" s="78" t="s">
        <v>246</v>
      </c>
      <c r="D1106" s="52" t="s">
        <v>330</v>
      </c>
      <c r="E1106" s="56" t="s">
        <v>175</v>
      </c>
      <c r="F1106" s="56" t="s">
        <v>1476</v>
      </c>
      <c r="G1106" s="56"/>
      <c r="H1106" s="52" t="s">
        <v>242</v>
      </c>
      <c r="I1106" s="52">
        <v>90</v>
      </c>
      <c r="J1106" s="52">
        <v>751000000</v>
      </c>
      <c r="K1106" s="53" t="s">
        <v>2290</v>
      </c>
      <c r="L1106" s="53" t="s">
        <v>1503</v>
      </c>
      <c r="M1106" s="53" t="s">
        <v>2290</v>
      </c>
      <c r="N1106" s="52"/>
      <c r="O1106" s="53" t="s">
        <v>2285</v>
      </c>
      <c r="P1106" s="53" t="s">
        <v>1836</v>
      </c>
      <c r="Q1106" s="52"/>
      <c r="R1106" s="52"/>
      <c r="S1106" s="54"/>
      <c r="T1106" s="52"/>
      <c r="U1106" s="54">
        <f>V1106/112*100</f>
        <v>13538401.785714287</v>
      </c>
      <c r="V1106" s="54">
        <f>15663010-500000</f>
        <v>15163010</v>
      </c>
      <c r="W1106" s="52"/>
      <c r="X1106" s="52">
        <v>2012</v>
      </c>
      <c r="Y1106" s="52"/>
    </row>
    <row r="1107" spans="2:25" s="55" customFormat="1" ht="102" outlineLevel="1">
      <c r="B1107" s="52" t="s">
        <v>593</v>
      </c>
      <c r="C1107" s="78" t="s">
        <v>246</v>
      </c>
      <c r="D1107" s="52" t="s">
        <v>1715</v>
      </c>
      <c r="E1107" s="56" t="s">
        <v>1716</v>
      </c>
      <c r="F1107" s="53" t="s">
        <v>1717</v>
      </c>
      <c r="G1107" s="53"/>
      <c r="H1107" s="52" t="s">
        <v>243</v>
      </c>
      <c r="I1107" s="52">
        <v>100</v>
      </c>
      <c r="J1107" s="52">
        <v>751000000</v>
      </c>
      <c r="K1107" s="53" t="s">
        <v>2290</v>
      </c>
      <c r="L1107" s="53" t="s">
        <v>1503</v>
      </c>
      <c r="M1107" s="53" t="s">
        <v>2290</v>
      </c>
      <c r="N1107" s="52"/>
      <c r="O1107" s="53" t="s">
        <v>2176</v>
      </c>
      <c r="P1107" s="53" t="s">
        <v>1469</v>
      </c>
      <c r="Q1107" s="52"/>
      <c r="R1107" s="52"/>
      <c r="S1107" s="54"/>
      <c r="T1107" s="52"/>
      <c r="U1107" s="54">
        <f t="shared" si="73"/>
        <v>758928.57142857148</v>
      </c>
      <c r="V1107" s="54">
        <v>850000</v>
      </c>
      <c r="W1107" s="52"/>
      <c r="X1107" s="52">
        <v>2012</v>
      </c>
      <c r="Y1107" s="52"/>
    </row>
    <row r="1108" spans="2:25" s="55" customFormat="1" ht="102" outlineLevel="1">
      <c r="B1108" s="52" t="s">
        <v>594</v>
      </c>
      <c r="C1108" s="78" t="s">
        <v>246</v>
      </c>
      <c r="D1108" s="52" t="s">
        <v>1715</v>
      </c>
      <c r="E1108" s="56" t="s">
        <v>1716</v>
      </c>
      <c r="F1108" s="53" t="s">
        <v>1717</v>
      </c>
      <c r="G1108" s="53"/>
      <c r="H1108" s="52" t="s">
        <v>243</v>
      </c>
      <c r="I1108" s="52">
        <v>100</v>
      </c>
      <c r="J1108" s="52">
        <v>711000000</v>
      </c>
      <c r="K1108" s="53" t="s">
        <v>1622</v>
      </c>
      <c r="L1108" s="53" t="s">
        <v>343</v>
      </c>
      <c r="M1108" s="53" t="s">
        <v>1816</v>
      </c>
      <c r="N1108" s="52"/>
      <c r="O1108" s="53" t="s">
        <v>1975</v>
      </c>
      <c r="P1108" s="53" t="s">
        <v>1469</v>
      </c>
      <c r="Q1108" s="52"/>
      <c r="R1108" s="52"/>
      <c r="S1108" s="54"/>
      <c r="T1108" s="52"/>
      <c r="U1108" s="54">
        <f t="shared" si="71"/>
        <v>1071428.5714285714</v>
      </c>
      <c r="V1108" s="54">
        <f>500000+700000</f>
        <v>1200000</v>
      </c>
      <c r="W1108" s="52"/>
      <c r="X1108" s="52">
        <v>2012</v>
      </c>
      <c r="Y1108" s="52"/>
    </row>
    <row r="1109" spans="2:25" s="55" customFormat="1" ht="102" outlineLevel="1">
      <c r="B1109" s="52" t="s">
        <v>1668</v>
      </c>
      <c r="C1109" s="78" t="s">
        <v>246</v>
      </c>
      <c r="D1109" s="52" t="s">
        <v>331</v>
      </c>
      <c r="E1109" s="56" t="s">
        <v>176</v>
      </c>
      <c r="F1109" s="56" t="s">
        <v>176</v>
      </c>
      <c r="G1109" s="56"/>
      <c r="H1109" s="52" t="s">
        <v>243</v>
      </c>
      <c r="I1109" s="52">
        <v>100</v>
      </c>
      <c r="J1109" s="52">
        <v>751000000</v>
      </c>
      <c r="K1109" s="53" t="s">
        <v>2290</v>
      </c>
      <c r="L1109" s="53" t="s">
        <v>1502</v>
      </c>
      <c r="M1109" s="53" t="s">
        <v>2290</v>
      </c>
      <c r="N1109" s="53"/>
      <c r="O1109" s="53" t="s">
        <v>2466</v>
      </c>
      <c r="P1109" s="53" t="s">
        <v>1508</v>
      </c>
      <c r="Q1109" s="52"/>
      <c r="R1109" s="52"/>
      <c r="S1109" s="54"/>
      <c r="T1109" s="52"/>
      <c r="U1109" s="54">
        <f t="shared" ref="U1109:U1116" si="74">V1109/112*100</f>
        <v>985871.42857142864</v>
      </c>
      <c r="V1109" s="54">
        <f>'[1]Прочие услуги'!$B$9</f>
        <v>1104176</v>
      </c>
      <c r="W1109" s="52"/>
      <c r="X1109" s="52">
        <v>2012</v>
      </c>
      <c r="Y1109" s="52"/>
    </row>
    <row r="1110" spans="2:25" s="55" customFormat="1" ht="102" outlineLevel="1">
      <c r="B1110" s="52" t="s">
        <v>595</v>
      </c>
      <c r="C1110" s="78" t="s">
        <v>246</v>
      </c>
      <c r="D1110" s="52" t="s">
        <v>332</v>
      </c>
      <c r="E1110" s="56" t="s">
        <v>177</v>
      </c>
      <c r="F1110" s="53" t="s">
        <v>1565</v>
      </c>
      <c r="G1110" s="53"/>
      <c r="H1110" s="52" t="s">
        <v>243</v>
      </c>
      <c r="I1110" s="52">
        <v>100</v>
      </c>
      <c r="J1110" s="52">
        <v>751000000</v>
      </c>
      <c r="K1110" s="53" t="s">
        <v>2290</v>
      </c>
      <c r="L1110" s="53" t="s">
        <v>1503</v>
      </c>
      <c r="M1110" s="53" t="s">
        <v>2290</v>
      </c>
      <c r="N1110" s="52"/>
      <c r="O1110" s="53" t="s">
        <v>2176</v>
      </c>
      <c r="P1110" s="53" t="s">
        <v>1469</v>
      </c>
      <c r="Q1110" s="52"/>
      <c r="R1110" s="52"/>
      <c r="S1110" s="54"/>
      <c r="T1110" s="52"/>
      <c r="U1110" s="54">
        <f t="shared" si="74"/>
        <v>2678571.4285714286</v>
      </c>
      <c r="V1110" s="54">
        <f>'[1]Прочие услуги'!$B$10</f>
        <v>3000000</v>
      </c>
      <c r="W1110" s="52"/>
      <c r="X1110" s="52">
        <v>2012</v>
      </c>
      <c r="Y1110" s="52"/>
    </row>
    <row r="1111" spans="2:25" s="55" customFormat="1" ht="127.5" outlineLevel="1">
      <c r="B1111" s="52" t="s">
        <v>596</v>
      </c>
      <c r="C1111" s="78" t="s">
        <v>246</v>
      </c>
      <c r="D1111" s="52" t="s">
        <v>2486</v>
      </c>
      <c r="E1111" s="56" t="s">
        <v>178</v>
      </c>
      <c r="F1111" s="56" t="s">
        <v>1478</v>
      </c>
      <c r="G1111" s="56"/>
      <c r="H1111" s="52" t="s">
        <v>243</v>
      </c>
      <c r="I1111" s="52">
        <v>100</v>
      </c>
      <c r="J1111" s="52">
        <v>751000000</v>
      </c>
      <c r="K1111" s="53" t="s">
        <v>2290</v>
      </c>
      <c r="L1111" s="53" t="s">
        <v>1468</v>
      </c>
      <c r="M1111" s="53" t="s">
        <v>2290</v>
      </c>
      <c r="N1111" s="52"/>
      <c r="O1111" s="53" t="s">
        <v>1975</v>
      </c>
      <c r="P1111" s="53" t="s">
        <v>1479</v>
      </c>
      <c r="Q1111" s="52"/>
      <c r="R1111" s="52"/>
      <c r="S1111" s="54"/>
      <c r="T1111" s="52"/>
      <c r="U1111" s="54">
        <f t="shared" si="74"/>
        <v>0</v>
      </c>
      <c r="V1111" s="54">
        <v>0</v>
      </c>
      <c r="W1111" s="52"/>
      <c r="X1111" s="52">
        <v>2012</v>
      </c>
      <c r="Y1111" s="52">
        <v>21</v>
      </c>
    </row>
    <row r="1112" spans="2:25" s="55" customFormat="1" ht="127.5" outlineLevel="1">
      <c r="B1112" s="52" t="s">
        <v>2576</v>
      </c>
      <c r="C1112" s="78" t="s">
        <v>246</v>
      </c>
      <c r="D1112" s="52" t="s">
        <v>2486</v>
      </c>
      <c r="E1112" s="56" t="s">
        <v>178</v>
      </c>
      <c r="F1112" s="56" t="s">
        <v>1478</v>
      </c>
      <c r="G1112" s="56"/>
      <c r="H1112" s="52" t="s">
        <v>243</v>
      </c>
      <c r="I1112" s="52">
        <v>100</v>
      </c>
      <c r="J1112" s="52">
        <v>751000000</v>
      </c>
      <c r="K1112" s="53" t="s">
        <v>2290</v>
      </c>
      <c r="L1112" s="53" t="s">
        <v>1468</v>
      </c>
      <c r="M1112" s="53" t="s">
        <v>2290</v>
      </c>
      <c r="N1112" s="52"/>
      <c r="O1112" s="53" t="s">
        <v>1975</v>
      </c>
      <c r="P1112" s="53" t="s">
        <v>1479</v>
      </c>
      <c r="Q1112" s="52"/>
      <c r="R1112" s="52"/>
      <c r="S1112" s="54"/>
      <c r="T1112" s="52"/>
      <c r="U1112" s="54">
        <f t="shared" si="74"/>
        <v>2142857.1428571427</v>
      </c>
      <c r="V1112" s="54">
        <f>1200000+1200000</f>
        <v>2400000</v>
      </c>
      <c r="W1112" s="52"/>
      <c r="X1112" s="52">
        <v>2012</v>
      </c>
      <c r="Y1112" s="52"/>
    </row>
    <row r="1113" spans="2:25" s="55" customFormat="1" ht="63.75" outlineLevel="1">
      <c r="B1113" s="52" t="s">
        <v>597</v>
      </c>
      <c r="C1113" s="78" t="s">
        <v>246</v>
      </c>
      <c r="D1113" s="52" t="s">
        <v>333</v>
      </c>
      <c r="E1113" s="56" t="s">
        <v>1591</v>
      </c>
      <c r="F1113" s="56" t="s">
        <v>1591</v>
      </c>
      <c r="G1113" s="56"/>
      <c r="H1113" s="52" t="s">
        <v>243</v>
      </c>
      <c r="I1113" s="52">
        <v>100</v>
      </c>
      <c r="J1113" s="52">
        <v>751000000</v>
      </c>
      <c r="K1113" s="53" t="s">
        <v>2290</v>
      </c>
      <c r="L1113" s="53" t="s">
        <v>1503</v>
      </c>
      <c r="M1113" s="53" t="s">
        <v>2290</v>
      </c>
      <c r="N1113" s="52"/>
      <c r="O1113" s="53" t="s">
        <v>1977</v>
      </c>
      <c r="P1113" s="53" t="s">
        <v>1570</v>
      </c>
      <c r="Q1113" s="52"/>
      <c r="R1113" s="52"/>
      <c r="S1113" s="54"/>
      <c r="T1113" s="52"/>
      <c r="U1113" s="54">
        <f t="shared" si="74"/>
        <v>0</v>
      </c>
      <c r="V1113" s="54">
        <v>0</v>
      </c>
      <c r="W1113" s="52"/>
      <c r="X1113" s="52">
        <v>2012</v>
      </c>
      <c r="Y1113" s="52">
        <v>21</v>
      </c>
    </row>
    <row r="1114" spans="2:25" s="55" customFormat="1" ht="63.75" outlineLevel="1">
      <c r="B1114" s="52" t="s">
        <v>2577</v>
      </c>
      <c r="C1114" s="78" t="s">
        <v>246</v>
      </c>
      <c r="D1114" s="52" t="s">
        <v>333</v>
      </c>
      <c r="E1114" s="56" t="s">
        <v>1591</v>
      </c>
      <c r="F1114" s="56" t="s">
        <v>1591</v>
      </c>
      <c r="G1114" s="56"/>
      <c r="H1114" s="52" t="s">
        <v>243</v>
      </c>
      <c r="I1114" s="52">
        <v>100</v>
      </c>
      <c r="J1114" s="52">
        <v>751000000</v>
      </c>
      <c r="K1114" s="53" t="s">
        <v>2290</v>
      </c>
      <c r="L1114" s="53" t="s">
        <v>1503</v>
      </c>
      <c r="M1114" s="53" t="s">
        <v>2290</v>
      </c>
      <c r="N1114" s="52"/>
      <c r="O1114" s="53" t="s">
        <v>1977</v>
      </c>
      <c r="P1114" s="53" t="s">
        <v>1570</v>
      </c>
      <c r="Q1114" s="52"/>
      <c r="R1114" s="52"/>
      <c r="S1114" s="54"/>
      <c r="T1114" s="52"/>
      <c r="U1114" s="54">
        <f t="shared" si="74"/>
        <v>312500</v>
      </c>
      <c r="V1114" s="54">
        <f>300000+50000</f>
        <v>350000</v>
      </c>
      <c r="W1114" s="52"/>
      <c r="X1114" s="52">
        <v>2012</v>
      </c>
      <c r="Y1114" s="52"/>
    </row>
    <row r="1115" spans="2:25" s="55" customFormat="1" ht="51" outlineLevel="1">
      <c r="B1115" s="52" t="s">
        <v>598</v>
      </c>
      <c r="C1115" s="78" t="s">
        <v>246</v>
      </c>
      <c r="D1115" s="52" t="s">
        <v>341</v>
      </c>
      <c r="E1115" s="56" t="s">
        <v>1564</v>
      </c>
      <c r="F1115" s="53" t="s">
        <v>1563</v>
      </c>
      <c r="G1115" s="53"/>
      <c r="H1115" s="52" t="s">
        <v>243</v>
      </c>
      <c r="I1115" s="52">
        <v>100</v>
      </c>
      <c r="J1115" s="52">
        <v>751000000</v>
      </c>
      <c r="K1115" s="53" t="s">
        <v>2290</v>
      </c>
      <c r="L1115" s="53" t="s">
        <v>1503</v>
      </c>
      <c r="M1115" s="53" t="s">
        <v>2290</v>
      </c>
      <c r="N1115" s="52"/>
      <c r="O1115" s="53" t="s">
        <v>1977</v>
      </c>
      <c r="P1115" s="53" t="s">
        <v>1570</v>
      </c>
      <c r="Q1115" s="52"/>
      <c r="R1115" s="52"/>
      <c r="S1115" s="54"/>
      <c r="T1115" s="52"/>
      <c r="U1115" s="54">
        <f t="shared" si="74"/>
        <v>0</v>
      </c>
      <c r="V1115" s="54">
        <v>0</v>
      </c>
      <c r="W1115" s="52"/>
      <c r="X1115" s="52">
        <v>2012</v>
      </c>
      <c r="Y1115" s="52">
        <v>21</v>
      </c>
    </row>
    <row r="1116" spans="2:25" s="55" customFormat="1" ht="51" outlineLevel="1">
      <c r="B1116" s="52" t="s">
        <v>2578</v>
      </c>
      <c r="C1116" s="78" t="s">
        <v>246</v>
      </c>
      <c r="D1116" s="52" t="s">
        <v>341</v>
      </c>
      <c r="E1116" s="56" t="s">
        <v>1564</v>
      </c>
      <c r="F1116" s="53" t="s">
        <v>1563</v>
      </c>
      <c r="G1116" s="53"/>
      <c r="H1116" s="52" t="s">
        <v>243</v>
      </c>
      <c r="I1116" s="52">
        <v>100</v>
      </c>
      <c r="J1116" s="52">
        <v>751000000</v>
      </c>
      <c r="K1116" s="53" t="s">
        <v>2290</v>
      </c>
      <c r="L1116" s="53" t="s">
        <v>1503</v>
      </c>
      <c r="M1116" s="53" t="s">
        <v>2290</v>
      </c>
      <c r="N1116" s="52"/>
      <c r="O1116" s="53" t="s">
        <v>1977</v>
      </c>
      <c r="P1116" s="53" t="s">
        <v>1570</v>
      </c>
      <c r="Q1116" s="52"/>
      <c r="R1116" s="52"/>
      <c r="S1116" s="54"/>
      <c r="T1116" s="52"/>
      <c r="U1116" s="54">
        <f t="shared" si="74"/>
        <v>446428.57142857148</v>
      </c>
      <c r="V1116" s="54">
        <f>380000+120000</f>
        <v>500000</v>
      </c>
      <c r="W1116" s="52"/>
      <c r="X1116" s="52">
        <v>2012</v>
      </c>
      <c r="Y1116" s="52"/>
    </row>
    <row r="1117" spans="2:25" s="55" customFormat="1" ht="204" outlineLevel="1">
      <c r="B1117" s="52" t="s">
        <v>599</v>
      </c>
      <c r="C1117" s="78" t="s">
        <v>246</v>
      </c>
      <c r="D1117" s="52" t="s">
        <v>334</v>
      </c>
      <c r="E1117" s="56" t="s">
        <v>204</v>
      </c>
      <c r="F1117" s="56" t="s">
        <v>1480</v>
      </c>
      <c r="G1117" s="56"/>
      <c r="H1117" s="52" t="s">
        <v>243</v>
      </c>
      <c r="I1117" s="52">
        <v>100</v>
      </c>
      <c r="J1117" s="52">
        <v>751000000</v>
      </c>
      <c r="K1117" s="53" t="s">
        <v>2290</v>
      </c>
      <c r="L1117" s="53" t="s">
        <v>2443</v>
      </c>
      <c r="M1117" s="53" t="s">
        <v>2290</v>
      </c>
      <c r="N1117" s="52"/>
      <c r="O1117" s="53" t="s">
        <v>2444</v>
      </c>
      <c r="P1117" s="53" t="s">
        <v>1607</v>
      </c>
      <c r="Q1117" s="52"/>
      <c r="R1117" s="52"/>
      <c r="S1117" s="54"/>
      <c r="T1117" s="52"/>
      <c r="U1117" s="54">
        <f t="shared" si="71"/>
        <v>5919642.8571428573</v>
      </c>
      <c r="V1117" s="54">
        <f>'[1]Прочие услуги'!$B$4</f>
        <v>6630000</v>
      </c>
      <c r="W1117" s="52"/>
      <c r="X1117" s="52">
        <v>2012</v>
      </c>
      <c r="Y1117" s="52"/>
    </row>
    <row r="1118" spans="2:25" s="55" customFormat="1" ht="127.5" outlineLevel="1">
      <c r="B1118" s="52" t="s">
        <v>600</v>
      </c>
      <c r="C1118" s="78" t="s">
        <v>246</v>
      </c>
      <c r="D1118" s="52" t="s">
        <v>337</v>
      </c>
      <c r="E1118" s="56" t="s">
        <v>2445</v>
      </c>
      <c r="F1118" s="56" t="s">
        <v>2446</v>
      </c>
      <c r="G1118" s="56"/>
      <c r="H1118" s="52" t="s">
        <v>243</v>
      </c>
      <c r="I1118" s="52">
        <v>100</v>
      </c>
      <c r="J1118" s="52">
        <v>751000000</v>
      </c>
      <c r="K1118" s="53" t="s">
        <v>2290</v>
      </c>
      <c r="L1118" s="53" t="s">
        <v>1503</v>
      </c>
      <c r="M1118" s="53" t="s">
        <v>2290</v>
      </c>
      <c r="N1118" s="52"/>
      <c r="O1118" s="53" t="s">
        <v>2176</v>
      </c>
      <c r="P1118" s="53" t="s">
        <v>1795</v>
      </c>
      <c r="Q1118" s="52"/>
      <c r="R1118" s="52"/>
      <c r="S1118" s="54"/>
      <c r="T1118" s="52"/>
      <c r="U1118" s="54">
        <f t="shared" si="71"/>
        <v>0</v>
      </c>
      <c r="V1118" s="54">
        <v>0</v>
      </c>
      <c r="W1118" s="52"/>
      <c r="X1118" s="52">
        <v>2012</v>
      </c>
      <c r="Y1118" s="52">
        <v>15</v>
      </c>
    </row>
    <row r="1119" spans="2:25" s="55" customFormat="1" ht="127.5" outlineLevel="1">
      <c r="B1119" s="52" t="s">
        <v>2579</v>
      </c>
      <c r="C1119" s="78" t="s">
        <v>246</v>
      </c>
      <c r="D1119" s="52" t="s">
        <v>337</v>
      </c>
      <c r="E1119" s="56" t="s">
        <v>2445</v>
      </c>
      <c r="F1119" s="56" t="s">
        <v>2446</v>
      </c>
      <c r="G1119" s="56"/>
      <c r="H1119" s="52" t="s">
        <v>243</v>
      </c>
      <c r="I1119" s="52">
        <v>100</v>
      </c>
      <c r="J1119" s="52">
        <v>751000000</v>
      </c>
      <c r="K1119" s="53" t="s">
        <v>2290</v>
      </c>
      <c r="L1119" s="53" t="s">
        <v>1503</v>
      </c>
      <c r="M1119" s="53" t="s">
        <v>2290</v>
      </c>
      <c r="N1119" s="52"/>
      <c r="O1119" s="53" t="s">
        <v>2176</v>
      </c>
      <c r="P1119" s="53" t="s">
        <v>2580</v>
      </c>
      <c r="Q1119" s="52"/>
      <c r="R1119" s="52"/>
      <c r="S1119" s="54"/>
      <c r="T1119" s="52"/>
      <c r="U1119" s="54">
        <f t="shared" si="71"/>
        <v>77678.571428571435</v>
      </c>
      <c r="V1119" s="54">
        <v>87000</v>
      </c>
      <c r="W1119" s="52"/>
      <c r="X1119" s="52">
        <v>2012</v>
      </c>
      <c r="Y1119" s="52"/>
    </row>
    <row r="1120" spans="2:25" s="55" customFormat="1" ht="102" outlineLevel="1">
      <c r="B1120" s="52" t="s">
        <v>601</v>
      </c>
      <c r="C1120" s="78" t="s">
        <v>246</v>
      </c>
      <c r="D1120" s="52" t="s">
        <v>338</v>
      </c>
      <c r="E1120" s="56" t="s">
        <v>239</v>
      </c>
      <c r="F1120" s="53" t="s">
        <v>2286</v>
      </c>
      <c r="G1120" s="53"/>
      <c r="H1120" s="52" t="s">
        <v>243</v>
      </c>
      <c r="I1120" s="52">
        <v>100</v>
      </c>
      <c r="J1120" s="52">
        <v>751000000</v>
      </c>
      <c r="K1120" s="53" t="s">
        <v>2290</v>
      </c>
      <c r="L1120" s="53" t="s">
        <v>2469</v>
      </c>
      <c r="M1120" s="53" t="s">
        <v>2290</v>
      </c>
      <c r="N1120" s="52"/>
      <c r="O1120" s="53" t="s">
        <v>2469</v>
      </c>
      <c r="P1120" s="53" t="s">
        <v>1469</v>
      </c>
      <c r="Q1120" s="52"/>
      <c r="R1120" s="52"/>
      <c r="S1120" s="54"/>
      <c r="T1120" s="52"/>
      <c r="U1120" s="54">
        <f t="shared" ref="U1120:U1124" si="75">V1120/112*100</f>
        <v>267857.14285714284</v>
      </c>
      <c r="V1120" s="54">
        <v>300000</v>
      </c>
      <c r="W1120" s="52"/>
      <c r="X1120" s="52">
        <v>2012</v>
      </c>
      <c r="Y1120" s="52"/>
    </row>
    <row r="1121" spans="2:25" s="55" customFormat="1" ht="102" outlineLevel="1">
      <c r="B1121" s="52" t="s">
        <v>602</v>
      </c>
      <c r="C1121" s="78" t="s">
        <v>246</v>
      </c>
      <c r="D1121" s="52" t="s">
        <v>314</v>
      </c>
      <c r="E1121" s="56" t="s">
        <v>313</v>
      </c>
      <c r="F1121" s="53" t="s">
        <v>1525</v>
      </c>
      <c r="G1121" s="53"/>
      <c r="H1121" s="52" t="s">
        <v>243</v>
      </c>
      <c r="I1121" s="52">
        <v>80</v>
      </c>
      <c r="J1121" s="52">
        <v>751000000</v>
      </c>
      <c r="K1121" s="53" t="s">
        <v>2290</v>
      </c>
      <c r="L1121" s="53" t="s">
        <v>1502</v>
      </c>
      <c r="M1121" s="53" t="s">
        <v>2290</v>
      </c>
      <c r="N1121" s="52"/>
      <c r="O1121" s="53" t="s">
        <v>1502</v>
      </c>
      <c r="P1121" s="53" t="s">
        <v>1469</v>
      </c>
      <c r="Q1121" s="52"/>
      <c r="R1121" s="52"/>
      <c r="S1121" s="54"/>
      <c r="T1121" s="52"/>
      <c r="U1121" s="54">
        <f t="shared" si="75"/>
        <v>53571.428571428565</v>
      </c>
      <c r="V1121" s="54">
        <v>60000</v>
      </c>
      <c r="W1121" s="52"/>
      <c r="X1121" s="52">
        <v>2012</v>
      </c>
      <c r="Y1121" s="52"/>
    </row>
    <row r="1122" spans="2:25" s="55" customFormat="1" ht="102" outlineLevel="1">
      <c r="B1122" s="52" t="s">
        <v>603</v>
      </c>
      <c r="C1122" s="78" t="s">
        <v>246</v>
      </c>
      <c r="D1122" s="77">
        <v>41261</v>
      </c>
      <c r="E1122" s="56" t="s">
        <v>2158</v>
      </c>
      <c r="F1122" s="56" t="s">
        <v>2321</v>
      </c>
      <c r="G1122" s="56"/>
      <c r="H1122" s="52" t="s">
        <v>243</v>
      </c>
      <c r="I1122" s="52">
        <v>80</v>
      </c>
      <c r="J1122" s="52">
        <v>751000000</v>
      </c>
      <c r="K1122" s="53" t="s">
        <v>2290</v>
      </c>
      <c r="L1122" s="53" t="s">
        <v>1502</v>
      </c>
      <c r="M1122" s="53" t="s">
        <v>2290</v>
      </c>
      <c r="N1122" s="52"/>
      <c r="O1122" s="53" t="s">
        <v>2176</v>
      </c>
      <c r="P1122" s="53" t="s">
        <v>1469</v>
      </c>
      <c r="Q1122" s="52"/>
      <c r="R1122" s="52"/>
      <c r="S1122" s="54"/>
      <c r="T1122" s="52"/>
      <c r="U1122" s="54">
        <f t="shared" si="75"/>
        <v>0</v>
      </c>
      <c r="V1122" s="54">
        <v>0</v>
      </c>
      <c r="W1122" s="52"/>
      <c r="X1122" s="52">
        <v>2012</v>
      </c>
      <c r="Y1122" s="52">
        <v>11.21</v>
      </c>
    </row>
    <row r="1123" spans="2:25" s="55" customFormat="1" ht="102" outlineLevel="1">
      <c r="B1123" s="52" t="s">
        <v>2581</v>
      </c>
      <c r="C1123" s="78" t="s">
        <v>246</v>
      </c>
      <c r="D1123" s="77">
        <v>41261</v>
      </c>
      <c r="E1123" s="56" t="s">
        <v>2158</v>
      </c>
      <c r="F1123" s="56" t="s">
        <v>2321</v>
      </c>
      <c r="G1123" s="56"/>
      <c r="H1123" s="52" t="s">
        <v>243</v>
      </c>
      <c r="I1123" s="52">
        <v>80</v>
      </c>
      <c r="J1123" s="52">
        <v>751000000</v>
      </c>
      <c r="K1123" s="53" t="s">
        <v>2290</v>
      </c>
      <c r="L1123" s="53" t="s">
        <v>1503</v>
      </c>
      <c r="M1123" s="53" t="s">
        <v>2290</v>
      </c>
      <c r="N1123" s="52"/>
      <c r="O1123" s="53" t="s">
        <v>2176</v>
      </c>
      <c r="P1123" s="53" t="s">
        <v>1469</v>
      </c>
      <c r="Q1123" s="52"/>
      <c r="R1123" s="52"/>
      <c r="S1123" s="54"/>
      <c r="T1123" s="52"/>
      <c r="U1123" s="54">
        <f t="shared" si="75"/>
        <v>0</v>
      </c>
      <c r="V1123" s="54">
        <v>0</v>
      </c>
      <c r="W1123" s="52"/>
      <c r="X1123" s="52">
        <v>2012</v>
      </c>
      <c r="Y1123" s="52">
        <v>11</v>
      </c>
    </row>
    <row r="1124" spans="2:25" s="55" customFormat="1" ht="102" outlineLevel="1">
      <c r="B1124" s="52" t="s">
        <v>2678</v>
      </c>
      <c r="C1124" s="78" t="s">
        <v>246</v>
      </c>
      <c r="D1124" s="77">
        <v>41261</v>
      </c>
      <c r="E1124" s="56" t="s">
        <v>2158</v>
      </c>
      <c r="F1124" s="56" t="s">
        <v>2321</v>
      </c>
      <c r="G1124" s="56"/>
      <c r="H1124" s="52" t="s">
        <v>243</v>
      </c>
      <c r="I1124" s="52">
        <v>80</v>
      </c>
      <c r="J1124" s="52">
        <v>751000000</v>
      </c>
      <c r="K1124" s="53" t="s">
        <v>2290</v>
      </c>
      <c r="L1124" s="53" t="s">
        <v>2679</v>
      </c>
      <c r="M1124" s="53" t="s">
        <v>2290</v>
      </c>
      <c r="N1124" s="52"/>
      <c r="O1124" s="53" t="s">
        <v>2176</v>
      </c>
      <c r="P1124" s="53" t="s">
        <v>1469</v>
      </c>
      <c r="Q1124" s="52"/>
      <c r="R1124" s="52"/>
      <c r="S1124" s="54"/>
      <c r="T1124" s="52"/>
      <c r="U1124" s="54">
        <f t="shared" si="75"/>
        <v>628780.35714285716</v>
      </c>
      <c r="V1124" s="54">
        <f>1104234-400000</f>
        <v>704234</v>
      </c>
      <c r="W1124" s="52"/>
      <c r="X1124" s="52">
        <v>2012</v>
      </c>
      <c r="Y1124" s="52"/>
    </row>
    <row r="1125" spans="2:25" s="55" customFormat="1" ht="51" outlineLevel="1">
      <c r="B1125" s="52" t="s">
        <v>604</v>
      </c>
      <c r="C1125" s="78" t="s">
        <v>246</v>
      </c>
      <c r="D1125" s="77">
        <v>41261</v>
      </c>
      <c r="E1125" s="56" t="s">
        <v>2158</v>
      </c>
      <c r="F1125" s="56" t="s">
        <v>2321</v>
      </c>
      <c r="G1125" s="56"/>
      <c r="H1125" s="52" t="s">
        <v>243</v>
      </c>
      <c r="I1125" s="52">
        <v>100</v>
      </c>
      <c r="J1125" s="52">
        <v>110000000</v>
      </c>
      <c r="K1125" s="56" t="s">
        <v>125</v>
      </c>
      <c r="L1125" s="53" t="s">
        <v>1627</v>
      </c>
      <c r="M1125" s="56" t="s">
        <v>125</v>
      </c>
      <c r="N1125" s="52"/>
      <c r="O1125" s="53"/>
      <c r="P1125" s="53"/>
      <c r="Q1125" s="52"/>
      <c r="R1125" s="52"/>
      <c r="S1125" s="54"/>
      <c r="T1125" s="52"/>
      <c r="U1125" s="54">
        <f t="shared" si="71"/>
        <v>89285.71428571429</v>
      </c>
      <c r="V1125" s="54">
        <f>1600000/16</f>
        <v>100000</v>
      </c>
      <c r="W1125" s="52"/>
      <c r="X1125" s="52">
        <v>2012</v>
      </c>
      <c r="Y1125" s="52"/>
    </row>
    <row r="1126" spans="2:25" s="55" customFormat="1" ht="51" outlineLevel="1">
      <c r="B1126" s="52" t="s">
        <v>605</v>
      </c>
      <c r="C1126" s="78" t="s">
        <v>246</v>
      </c>
      <c r="D1126" s="77">
        <v>41261</v>
      </c>
      <c r="E1126" s="56" t="s">
        <v>2158</v>
      </c>
      <c r="F1126" s="56" t="s">
        <v>2321</v>
      </c>
      <c r="G1126" s="56"/>
      <c r="H1126" s="52" t="s">
        <v>243</v>
      </c>
      <c r="I1126" s="52">
        <v>100</v>
      </c>
      <c r="J1126" s="52">
        <v>150000000</v>
      </c>
      <c r="K1126" s="56" t="s">
        <v>126</v>
      </c>
      <c r="L1126" s="53" t="s">
        <v>1627</v>
      </c>
      <c r="M1126" s="56" t="s">
        <v>126</v>
      </c>
      <c r="N1126" s="52"/>
      <c r="O1126" s="53"/>
      <c r="P1126" s="53"/>
      <c r="Q1126" s="52"/>
      <c r="R1126" s="52"/>
      <c r="S1126" s="54"/>
      <c r="T1126" s="52"/>
      <c r="U1126" s="54">
        <f t="shared" si="71"/>
        <v>89285.71428571429</v>
      </c>
      <c r="V1126" s="54">
        <f t="shared" ref="V1126:V1141" si="76">1600000/16</f>
        <v>100000</v>
      </c>
      <c r="W1126" s="52"/>
      <c r="X1126" s="52">
        <v>2012</v>
      </c>
      <c r="Y1126" s="52"/>
    </row>
    <row r="1127" spans="2:25" s="55" customFormat="1" ht="127.5" outlineLevel="1">
      <c r="B1127" s="52" t="s">
        <v>606</v>
      </c>
      <c r="C1127" s="78" t="s">
        <v>246</v>
      </c>
      <c r="D1127" s="77">
        <v>41261</v>
      </c>
      <c r="E1127" s="56" t="s">
        <v>2158</v>
      </c>
      <c r="F1127" s="56" t="s">
        <v>2321</v>
      </c>
      <c r="G1127" s="56"/>
      <c r="H1127" s="52" t="s">
        <v>243</v>
      </c>
      <c r="I1127" s="52">
        <v>100</v>
      </c>
      <c r="J1127" s="52">
        <v>190000000</v>
      </c>
      <c r="K1127" s="56" t="s">
        <v>117</v>
      </c>
      <c r="L1127" s="53" t="s">
        <v>1627</v>
      </c>
      <c r="M1127" s="56" t="s">
        <v>117</v>
      </c>
      <c r="N1127" s="52"/>
      <c r="O1127" s="53" t="s">
        <v>1627</v>
      </c>
      <c r="P1127" s="53" t="s">
        <v>1796</v>
      </c>
      <c r="Q1127" s="52"/>
      <c r="R1127" s="52"/>
      <c r="S1127" s="54"/>
      <c r="T1127" s="52"/>
      <c r="U1127" s="54">
        <f t="shared" si="71"/>
        <v>89285.71428571429</v>
      </c>
      <c r="V1127" s="54">
        <f t="shared" si="76"/>
        <v>100000</v>
      </c>
      <c r="W1127" s="52"/>
      <c r="X1127" s="52">
        <v>2012</v>
      </c>
      <c r="Y1127" s="52"/>
    </row>
    <row r="1128" spans="2:25" s="55" customFormat="1" ht="51" outlineLevel="1">
      <c r="B1128" s="52" t="s">
        <v>607</v>
      </c>
      <c r="C1128" s="78" t="s">
        <v>246</v>
      </c>
      <c r="D1128" s="77">
        <v>41261</v>
      </c>
      <c r="E1128" s="56" t="s">
        <v>2158</v>
      </c>
      <c r="F1128" s="56" t="s">
        <v>2321</v>
      </c>
      <c r="G1128" s="56"/>
      <c r="H1128" s="52" t="s">
        <v>243</v>
      </c>
      <c r="I1128" s="52">
        <v>100</v>
      </c>
      <c r="J1128" s="52">
        <v>751000000</v>
      </c>
      <c r="K1128" s="63" t="s">
        <v>1437</v>
      </c>
      <c r="L1128" s="53" t="s">
        <v>1976</v>
      </c>
      <c r="M1128" s="63" t="s">
        <v>1437</v>
      </c>
      <c r="N1128" s="52"/>
      <c r="O1128" s="53" t="s">
        <v>1976</v>
      </c>
      <c r="P1128" s="53"/>
      <c r="Q1128" s="52"/>
      <c r="R1128" s="52"/>
      <c r="S1128" s="54"/>
      <c r="T1128" s="52"/>
      <c r="U1128" s="54">
        <f t="shared" si="71"/>
        <v>89285.71428571429</v>
      </c>
      <c r="V1128" s="54">
        <f t="shared" si="76"/>
        <v>100000</v>
      </c>
      <c r="W1128" s="52"/>
      <c r="X1128" s="52">
        <v>2012</v>
      </c>
      <c r="Y1128" s="52"/>
    </row>
    <row r="1129" spans="2:25" s="55" customFormat="1" ht="114.75" outlineLevel="1">
      <c r="B1129" s="52" t="s">
        <v>608</v>
      </c>
      <c r="C1129" s="78" t="s">
        <v>246</v>
      </c>
      <c r="D1129" s="77">
        <v>41261</v>
      </c>
      <c r="E1129" s="56" t="s">
        <v>2158</v>
      </c>
      <c r="F1129" s="56" t="s">
        <v>2321</v>
      </c>
      <c r="G1129" s="56"/>
      <c r="H1129" s="52" t="s">
        <v>243</v>
      </c>
      <c r="I1129" s="52">
        <v>100</v>
      </c>
      <c r="J1129" s="52">
        <v>711000000</v>
      </c>
      <c r="K1129" s="56" t="s">
        <v>151</v>
      </c>
      <c r="L1129" s="53" t="s">
        <v>1627</v>
      </c>
      <c r="M1129" s="53" t="s">
        <v>1816</v>
      </c>
      <c r="N1129" s="52"/>
      <c r="O1129" s="53" t="s">
        <v>1627</v>
      </c>
      <c r="P1129" s="53" t="s">
        <v>1598</v>
      </c>
      <c r="Q1129" s="52"/>
      <c r="R1129" s="52"/>
      <c r="S1129" s="54"/>
      <c r="T1129" s="52"/>
      <c r="U1129" s="54">
        <f t="shared" si="71"/>
        <v>0</v>
      </c>
      <c r="V1129" s="54">
        <v>0</v>
      </c>
      <c r="W1129" s="52"/>
      <c r="X1129" s="52">
        <v>2012</v>
      </c>
      <c r="Y1129" s="52">
        <v>21</v>
      </c>
    </row>
    <row r="1130" spans="2:25" s="55" customFormat="1" ht="114.75" outlineLevel="1">
      <c r="B1130" s="52" t="s">
        <v>2582</v>
      </c>
      <c r="C1130" s="78" t="s">
        <v>246</v>
      </c>
      <c r="D1130" s="77">
        <v>41261</v>
      </c>
      <c r="E1130" s="56" t="s">
        <v>2158</v>
      </c>
      <c r="F1130" s="56" t="s">
        <v>2321</v>
      </c>
      <c r="G1130" s="56"/>
      <c r="H1130" s="52" t="s">
        <v>243</v>
      </c>
      <c r="I1130" s="52">
        <v>100</v>
      </c>
      <c r="J1130" s="52">
        <v>711000000</v>
      </c>
      <c r="K1130" s="56" t="s">
        <v>151</v>
      </c>
      <c r="L1130" s="53" t="s">
        <v>1627</v>
      </c>
      <c r="M1130" s="53" t="s">
        <v>1816</v>
      </c>
      <c r="N1130" s="52"/>
      <c r="O1130" s="53" t="s">
        <v>1627</v>
      </c>
      <c r="P1130" s="53" t="s">
        <v>1598</v>
      </c>
      <c r="Q1130" s="52"/>
      <c r="R1130" s="52"/>
      <c r="S1130" s="54"/>
      <c r="T1130" s="52"/>
      <c r="U1130" s="54">
        <f t="shared" si="71"/>
        <v>446428.57142857148</v>
      </c>
      <c r="V1130" s="54">
        <f>100000+400000</f>
        <v>500000</v>
      </c>
      <c r="W1130" s="52"/>
      <c r="X1130" s="52">
        <v>2012</v>
      </c>
      <c r="Y1130" s="52"/>
    </row>
    <row r="1131" spans="2:25" s="55" customFormat="1" ht="51" outlineLevel="1">
      <c r="B1131" s="52" t="s">
        <v>609</v>
      </c>
      <c r="C1131" s="78" t="s">
        <v>246</v>
      </c>
      <c r="D1131" s="77">
        <v>41261</v>
      </c>
      <c r="E1131" s="56" t="s">
        <v>2158</v>
      </c>
      <c r="F1131" s="56" t="s">
        <v>2321</v>
      </c>
      <c r="G1131" s="56"/>
      <c r="H1131" s="52" t="s">
        <v>243</v>
      </c>
      <c r="I1131" s="52">
        <v>100</v>
      </c>
      <c r="J1131" s="52">
        <v>230000000</v>
      </c>
      <c r="K1131" s="56" t="s">
        <v>118</v>
      </c>
      <c r="L1131" s="53" t="s">
        <v>1627</v>
      </c>
      <c r="M1131" s="56" t="s">
        <v>118</v>
      </c>
      <c r="N1131" s="52"/>
      <c r="O1131" s="53" t="s">
        <v>1627</v>
      </c>
      <c r="P1131" s="53"/>
      <c r="Q1131" s="52"/>
      <c r="R1131" s="52"/>
      <c r="S1131" s="54"/>
      <c r="T1131" s="52"/>
      <c r="U1131" s="54">
        <f t="shared" si="71"/>
        <v>89285.71428571429</v>
      </c>
      <c r="V1131" s="54">
        <f t="shared" si="76"/>
        <v>100000</v>
      </c>
      <c r="W1131" s="52"/>
      <c r="X1131" s="52">
        <v>2012</v>
      </c>
      <c r="Y1131" s="52"/>
    </row>
    <row r="1132" spans="2:25" s="55" customFormat="1" ht="51" outlineLevel="1">
      <c r="B1132" s="52" t="s">
        <v>610</v>
      </c>
      <c r="C1132" s="78" t="s">
        <v>246</v>
      </c>
      <c r="D1132" s="77">
        <v>41261</v>
      </c>
      <c r="E1132" s="56" t="s">
        <v>2158</v>
      </c>
      <c r="F1132" s="56" t="s">
        <v>2321</v>
      </c>
      <c r="G1132" s="56"/>
      <c r="H1132" s="52" t="s">
        <v>243</v>
      </c>
      <c r="I1132" s="52">
        <v>100</v>
      </c>
      <c r="J1132" s="52">
        <v>630000000</v>
      </c>
      <c r="K1132" s="56" t="s">
        <v>97</v>
      </c>
      <c r="L1132" s="53" t="s">
        <v>1627</v>
      </c>
      <c r="M1132" s="56" t="s">
        <v>97</v>
      </c>
      <c r="N1132" s="52"/>
      <c r="O1132" s="53"/>
      <c r="P1132" s="53"/>
      <c r="Q1132" s="52"/>
      <c r="R1132" s="52"/>
      <c r="S1132" s="54"/>
      <c r="T1132" s="52"/>
      <c r="U1132" s="54">
        <f t="shared" si="71"/>
        <v>89285.71428571429</v>
      </c>
      <c r="V1132" s="54">
        <f t="shared" si="76"/>
        <v>100000</v>
      </c>
      <c r="W1132" s="52"/>
      <c r="X1132" s="52">
        <v>2012</v>
      </c>
      <c r="Y1132" s="52"/>
    </row>
    <row r="1133" spans="2:25" s="55" customFormat="1" ht="51" outlineLevel="1">
      <c r="B1133" s="52" t="s">
        <v>611</v>
      </c>
      <c r="C1133" s="78" t="s">
        <v>246</v>
      </c>
      <c r="D1133" s="77">
        <v>41261</v>
      </c>
      <c r="E1133" s="56" t="s">
        <v>2158</v>
      </c>
      <c r="F1133" s="56" t="s">
        <v>2321</v>
      </c>
      <c r="G1133" s="56"/>
      <c r="H1133" s="52" t="s">
        <v>243</v>
      </c>
      <c r="I1133" s="52">
        <v>100</v>
      </c>
      <c r="J1133" s="52">
        <v>310000000</v>
      </c>
      <c r="K1133" s="56" t="s">
        <v>119</v>
      </c>
      <c r="L1133" s="53" t="s">
        <v>1627</v>
      </c>
      <c r="M1133" s="56" t="s">
        <v>119</v>
      </c>
      <c r="N1133" s="52"/>
      <c r="O1133" s="53"/>
      <c r="P1133" s="53"/>
      <c r="Q1133" s="52"/>
      <c r="R1133" s="52"/>
      <c r="S1133" s="54"/>
      <c r="T1133" s="52"/>
      <c r="U1133" s="54">
        <f t="shared" si="71"/>
        <v>89285.71428571429</v>
      </c>
      <c r="V1133" s="54">
        <f t="shared" si="76"/>
        <v>100000</v>
      </c>
      <c r="W1133" s="52"/>
      <c r="X1133" s="52">
        <v>2012</v>
      </c>
      <c r="Y1133" s="52"/>
    </row>
    <row r="1134" spans="2:25" s="55" customFormat="1" ht="51" outlineLevel="1">
      <c r="B1134" s="52" t="s">
        <v>612</v>
      </c>
      <c r="C1134" s="78" t="s">
        <v>246</v>
      </c>
      <c r="D1134" s="77">
        <v>41261</v>
      </c>
      <c r="E1134" s="56" t="s">
        <v>2158</v>
      </c>
      <c r="F1134" s="56" t="s">
        <v>2321</v>
      </c>
      <c r="G1134" s="56"/>
      <c r="H1134" s="52" t="s">
        <v>243</v>
      </c>
      <c r="I1134" s="52">
        <v>100</v>
      </c>
      <c r="J1134" s="52">
        <v>270000000</v>
      </c>
      <c r="K1134" s="56" t="s">
        <v>98</v>
      </c>
      <c r="L1134" s="53" t="s">
        <v>1627</v>
      </c>
      <c r="M1134" s="56" t="s">
        <v>98</v>
      </c>
      <c r="N1134" s="52"/>
      <c r="O1134" s="53"/>
      <c r="P1134" s="53"/>
      <c r="Q1134" s="52"/>
      <c r="R1134" s="52"/>
      <c r="S1134" s="54"/>
      <c r="T1134" s="52"/>
      <c r="U1134" s="54">
        <f t="shared" si="71"/>
        <v>89285.71428571429</v>
      </c>
      <c r="V1134" s="54">
        <f t="shared" si="76"/>
        <v>100000</v>
      </c>
      <c r="W1134" s="52"/>
      <c r="X1134" s="52">
        <v>2012</v>
      </c>
      <c r="Y1134" s="52"/>
    </row>
    <row r="1135" spans="2:25" s="55" customFormat="1" ht="102" outlineLevel="1">
      <c r="B1135" s="52" t="s">
        <v>1669</v>
      </c>
      <c r="C1135" s="78" t="s">
        <v>246</v>
      </c>
      <c r="D1135" s="77">
        <v>41261</v>
      </c>
      <c r="E1135" s="56" t="s">
        <v>2158</v>
      </c>
      <c r="F1135" s="56" t="s">
        <v>2321</v>
      </c>
      <c r="G1135" s="56"/>
      <c r="H1135" s="52" t="s">
        <v>243</v>
      </c>
      <c r="I1135" s="52">
        <v>100</v>
      </c>
      <c r="J1135" s="52">
        <v>350000000</v>
      </c>
      <c r="K1135" s="56" t="s">
        <v>120</v>
      </c>
      <c r="L1135" s="53" t="s">
        <v>1627</v>
      </c>
      <c r="M1135" s="56" t="s">
        <v>120</v>
      </c>
      <c r="N1135" s="52"/>
      <c r="O1135" s="53" t="s">
        <v>1975</v>
      </c>
      <c r="P1135" s="53" t="s">
        <v>1469</v>
      </c>
      <c r="Q1135" s="52"/>
      <c r="R1135" s="52"/>
      <c r="S1135" s="54"/>
      <c r="T1135" s="52"/>
      <c r="U1135" s="54">
        <f t="shared" si="71"/>
        <v>89285.71428571429</v>
      </c>
      <c r="V1135" s="54">
        <f t="shared" si="76"/>
        <v>100000</v>
      </c>
      <c r="W1135" s="52"/>
      <c r="X1135" s="52">
        <v>2012</v>
      </c>
      <c r="Y1135" s="52"/>
    </row>
    <row r="1136" spans="2:25" s="55" customFormat="1" ht="51" outlineLevel="1">
      <c r="B1136" s="52" t="s">
        <v>613</v>
      </c>
      <c r="C1136" s="78" t="s">
        <v>246</v>
      </c>
      <c r="D1136" s="77">
        <v>41261</v>
      </c>
      <c r="E1136" s="56" t="s">
        <v>2158</v>
      </c>
      <c r="F1136" s="56" t="s">
        <v>2321</v>
      </c>
      <c r="G1136" s="56"/>
      <c r="H1136" s="52" t="s">
        <v>243</v>
      </c>
      <c r="I1136" s="52">
        <v>100</v>
      </c>
      <c r="J1136" s="52">
        <v>390000000</v>
      </c>
      <c r="K1136" s="56" t="s">
        <v>121</v>
      </c>
      <c r="L1136" s="53" t="s">
        <v>1627</v>
      </c>
      <c r="M1136" s="56" t="s">
        <v>121</v>
      </c>
      <c r="N1136" s="52"/>
      <c r="O1136" s="53"/>
      <c r="P1136" s="53"/>
      <c r="Q1136" s="52"/>
      <c r="R1136" s="52"/>
      <c r="S1136" s="54"/>
      <c r="T1136" s="52"/>
      <c r="U1136" s="54">
        <f t="shared" si="71"/>
        <v>89285.71428571429</v>
      </c>
      <c r="V1136" s="54">
        <f t="shared" si="76"/>
        <v>100000</v>
      </c>
      <c r="W1136" s="52"/>
      <c r="X1136" s="52">
        <v>2012</v>
      </c>
      <c r="Y1136" s="52"/>
    </row>
    <row r="1137" spans="1:255" s="55" customFormat="1" ht="102" outlineLevel="1">
      <c r="B1137" s="52" t="s">
        <v>614</v>
      </c>
      <c r="C1137" s="78" t="s">
        <v>246</v>
      </c>
      <c r="D1137" s="77">
        <v>41261</v>
      </c>
      <c r="E1137" s="56" t="s">
        <v>2158</v>
      </c>
      <c r="F1137" s="56" t="s">
        <v>2321</v>
      </c>
      <c r="G1137" s="56"/>
      <c r="H1137" s="52" t="s">
        <v>243</v>
      </c>
      <c r="I1137" s="52">
        <v>100</v>
      </c>
      <c r="J1137" s="52">
        <v>430000000</v>
      </c>
      <c r="K1137" s="56" t="s">
        <v>122</v>
      </c>
      <c r="L1137" s="53" t="s">
        <v>1627</v>
      </c>
      <c r="M1137" s="56" t="s">
        <v>122</v>
      </c>
      <c r="N1137" s="52"/>
      <c r="O1137" s="53" t="s">
        <v>1627</v>
      </c>
      <c r="P1137" s="53" t="s">
        <v>1508</v>
      </c>
      <c r="Q1137" s="52"/>
      <c r="R1137" s="52"/>
      <c r="S1137" s="54"/>
      <c r="T1137" s="52"/>
      <c r="U1137" s="54">
        <f t="shared" si="71"/>
        <v>89285.71428571429</v>
      </c>
      <c r="V1137" s="54">
        <f t="shared" si="76"/>
        <v>100000</v>
      </c>
      <c r="W1137" s="52"/>
      <c r="X1137" s="52">
        <v>2012</v>
      </c>
      <c r="Y1137" s="52"/>
    </row>
    <row r="1138" spans="1:255" s="89" customFormat="1" ht="84" outlineLevel="1">
      <c r="B1138" s="52" t="s">
        <v>615</v>
      </c>
      <c r="C1138" s="132" t="s">
        <v>246</v>
      </c>
      <c r="D1138" s="77">
        <v>41261</v>
      </c>
      <c r="E1138" s="56" t="s">
        <v>2158</v>
      </c>
      <c r="F1138" s="56" t="s">
        <v>2321</v>
      </c>
      <c r="G1138" s="56"/>
      <c r="H1138" s="135" t="s">
        <v>243</v>
      </c>
      <c r="I1138" s="135">
        <v>100</v>
      </c>
      <c r="J1138" s="135">
        <v>470000000</v>
      </c>
      <c r="K1138" s="133" t="s">
        <v>123</v>
      </c>
      <c r="L1138" s="136" t="s">
        <v>1627</v>
      </c>
      <c r="M1138" s="133" t="s">
        <v>123</v>
      </c>
      <c r="N1138" s="135"/>
      <c r="O1138" s="136" t="s">
        <v>1464</v>
      </c>
      <c r="P1138" s="136" t="s">
        <v>1598</v>
      </c>
      <c r="Q1138" s="135"/>
      <c r="R1138" s="135"/>
      <c r="S1138" s="137"/>
      <c r="T1138" s="135"/>
      <c r="U1138" s="137">
        <f t="shared" si="71"/>
        <v>89285.71428571429</v>
      </c>
      <c r="V1138" s="137">
        <f t="shared" si="76"/>
        <v>100000</v>
      </c>
      <c r="W1138" s="135"/>
      <c r="X1138" s="52">
        <v>2012</v>
      </c>
      <c r="Y1138" s="135"/>
    </row>
    <row r="1139" spans="1:255" s="55" customFormat="1" ht="114.75" outlineLevel="1">
      <c r="B1139" s="52" t="s">
        <v>616</v>
      </c>
      <c r="C1139" s="78" t="s">
        <v>246</v>
      </c>
      <c r="D1139" s="77">
        <v>41261</v>
      </c>
      <c r="E1139" s="56" t="s">
        <v>2158</v>
      </c>
      <c r="F1139" s="56" t="s">
        <v>2321</v>
      </c>
      <c r="G1139" s="56"/>
      <c r="H1139" s="52" t="s">
        <v>243</v>
      </c>
      <c r="I1139" s="52">
        <v>70</v>
      </c>
      <c r="J1139" s="52">
        <v>550000000</v>
      </c>
      <c r="K1139" s="56" t="s">
        <v>124</v>
      </c>
      <c r="L1139" s="53" t="s">
        <v>1627</v>
      </c>
      <c r="M1139" s="56" t="s">
        <v>124</v>
      </c>
      <c r="N1139" s="52"/>
      <c r="O1139" s="53" t="s">
        <v>1627</v>
      </c>
      <c r="P1139" s="53" t="s">
        <v>1598</v>
      </c>
      <c r="Q1139" s="52"/>
      <c r="R1139" s="52"/>
      <c r="S1139" s="54"/>
      <c r="T1139" s="52"/>
      <c r="U1139" s="54">
        <f t="shared" si="71"/>
        <v>89285.71428571429</v>
      </c>
      <c r="V1139" s="54">
        <f t="shared" si="76"/>
        <v>100000</v>
      </c>
      <c r="W1139" s="52"/>
      <c r="X1139" s="52">
        <v>2012</v>
      </c>
      <c r="Y1139" s="52"/>
    </row>
    <row r="1140" spans="1:255" s="55" customFormat="1" ht="51" outlineLevel="1">
      <c r="B1140" s="52" t="s">
        <v>617</v>
      </c>
      <c r="C1140" s="78" t="s">
        <v>246</v>
      </c>
      <c r="D1140" s="77">
        <v>41261</v>
      </c>
      <c r="E1140" s="56" t="s">
        <v>2158</v>
      </c>
      <c r="F1140" s="56" t="s">
        <v>2321</v>
      </c>
      <c r="G1140" s="56"/>
      <c r="H1140" s="52" t="s">
        <v>243</v>
      </c>
      <c r="I1140" s="52">
        <v>100</v>
      </c>
      <c r="J1140" s="52">
        <v>590000000</v>
      </c>
      <c r="K1140" s="56" t="s">
        <v>103</v>
      </c>
      <c r="L1140" s="53" t="s">
        <v>1627</v>
      </c>
      <c r="M1140" s="56" t="s">
        <v>103</v>
      </c>
      <c r="N1140" s="52"/>
      <c r="O1140" s="53"/>
      <c r="P1140" s="53"/>
      <c r="Q1140" s="52"/>
      <c r="R1140" s="52"/>
      <c r="S1140" s="54"/>
      <c r="T1140" s="52"/>
      <c r="U1140" s="54">
        <f t="shared" si="71"/>
        <v>89285.71428571429</v>
      </c>
      <c r="V1140" s="54">
        <f t="shared" si="76"/>
        <v>100000</v>
      </c>
      <c r="W1140" s="52"/>
      <c r="X1140" s="52">
        <v>2012</v>
      </c>
      <c r="Y1140" s="52"/>
    </row>
    <row r="1141" spans="1:255" s="55" customFormat="1" ht="51" outlineLevel="1">
      <c r="B1141" s="52" t="s">
        <v>618</v>
      </c>
      <c r="C1141" s="78" t="s">
        <v>246</v>
      </c>
      <c r="D1141" s="77">
        <v>41261</v>
      </c>
      <c r="E1141" s="56" t="s">
        <v>2158</v>
      </c>
      <c r="F1141" s="56" t="s">
        <v>2321</v>
      </c>
      <c r="G1141" s="56"/>
      <c r="H1141" s="52" t="s">
        <v>243</v>
      </c>
      <c r="I1141" s="52">
        <v>100</v>
      </c>
      <c r="J1141" s="52">
        <v>510000000</v>
      </c>
      <c r="K1141" s="63" t="s">
        <v>104</v>
      </c>
      <c r="L1141" s="53" t="s">
        <v>1627</v>
      </c>
      <c r="M1141" s="63" t="s">
        <v>104</v>
      </c>
      <c r="N1141" s="52"/>
      <c r="O1141" s="53"/>
      <c r="P1141" s="53"/>
      <c r="Q1141" s="52"/>
      <c r="R1141" s="52"/>
      <c r="S1141" s="54"/>
      <c r="T1141" s="52"/>
      <c r="U1141" s="54">
        <f t="shared" si="71"/>
        <v>89285.71428571429</v>
      </c>
      <c r="V1141" s="54">
        <f t="shared" si="76"/>
        <v>100000</v>
      </c>
      <c r="W1141" s="52"/>
      <c r="X1141" s="52">
        <v>2012</v>
      </c>
      <c r="Y1141" s="52"/>
    </row>
    <row r="1142" spans="1:255" s="72" customFormat="1" ht="153.75" customHeight="1">
      <c r="A1142" s="55"/>
      <c r="B1142" s="52" t="s">
        <v>619</v>
      </c>
      <c r="C1142" s="78" t="s">
        <v>246</v>
      </c>
      <c r="D1142" s="52" t="s">
        <v>316</v>
      </c>
      <c r="E1142" s="56" t="s">
        <v>2067</v>
      </c>
      <c r="F1142" s="56" t="s">
        <v>2068</v>
      </c>
      <c r="G1142" s="56"/>
      <c r="H1142" s="56" t="s">
        <v>245</v>
      </c>
      <c r="I1142" s="82">
        <v>80</v>
      </c>
      <c r="J1142" s="52">
        <v>751000000</v>
      </c>
      <c r="K1142" s="53" t="s">
        <v>2290</v>
      </c>
      <c r="L1142" s="53" t="s">
        <v>1685</v>
      </c>
      <c r="M1142" s="53" t="s">
        <v>2290</v>
      </c>
      <c r="N1142" s="52"/>
      <c r="O1142" s="53" t="s">
        <v>2176</v>
      </c>
      <c r="P1142" s="53" t="s">
        <v>2069</v>
      </c>
      <c r="Q1142" s="52"/>
      <c r="R1142" s="52"/>
      <c r="S1142" s="54"/>
      <c r="T1142" s="52"/>
      <c r="U1142" s="54">
        <f t="shared" si="71"/>
        <v>0</v>
      </c>
      <c r="V1142" s="54">
        <v>0</v>
      </c>
      <c r="W1142" s="52"/>
      <c r="X1142" s="52">
        <v>2012</v>
      </c>
      <c r="Y1142" s="52">
        <v>11</v>
      </c>
      <c r="Z1142" s="55"/>
      <c r="AA1142" s="55"/>
      <c r="AB1142" s="55"/>
      <c r="AC1142" s="55"/>
      <c r="AD1142" s="55"/>
      <c r="AE1142" s="55"/>
      <c r="AF1142" s="55"/>
      <c r="AG1142" s="55"/>
      <c r="AH1142" s="55"/>
      <c r="AI1142" s="55"/>
      <c r="AJ1142" s="55"/>
      <c r="AK1142" s="55"/>
      <c r="AL1142" s="55"/>
      <c r="AM1142" s="55"/>
      <c r="AN1142" s="55"/>
      <c r="AO1142" s="55"/>
      <c r="AP1142" s="55"/>
      <c r="AQ1142" s="55"/>
      <c r="AR1142" s="55"/>
      <c r="AS1142" s="55"/>
      <c r="AT1142" s="55"/>
      <c r="AU1142" s="55"/>
      <c r="AV1142" s="55"/>
      <c r="AW1142" s="55"/>
      <c r="AX1142" s="55"/>
      <c r="AY1142" s="55"/>
      <c r="AZ1142" s="55"/>
      <c r="BA1142" s="55"/>
      <c r="BB1142" s="55"/>
      <c r="BC1142" s="55"/>
      <c r="BD1142" s="55"/>
      <c r="BE1142" s="55"/>
      <c r="BF1142" s="55"/>
      <c r="BG1142" s="55"/>
      <c r="BH1142" s="55"/>
      <c r="BI1142" s="55"/>
      <c r="BJ1142" s="55"/>
      <c r="BK1142" s="55"/>
      <c r="BL1142" s="55"/>
      <c r="BM1142" s="55"/>
      <c r="BN1142" s="55"/>
      <c r="BO1142" s="55"/>
      <c r="BP1142" s="55"/>
      <c r="BQ1142" s="55"/>
      <c r="BR1142" s="55"/>
      <c r="BS1142" s="55"/>
      <c r="BT1142" s="55"/>
      <c r="BU1142" s="55"/>
      <c r="BV1142" s="55"/>
      <c r="BW1142" s="55"/>
      <c r="BX1142" s="55"/>
      <c r="BY1142" s="55"/>
      <c r="BZ1142" s="55"/>
      <c r="CA1142" s="55"/>
      <c r="CB1142" s="55"/>
      <c r="CC1142" s="55"/>
      <c r="CD1142" s="55"/>
      <c r="CE1142" s="55"/>
      <c r="CF1142" s="55"/>
      <c r="CG1142" s="55"/>
      <c r="CH1142" s="55"/>
      <c r="CI1142" s="55"/>
      <c r="CJ1142" s="55"/>
      <c r="CK1142" s="55"/>
      <c r="CL1142" s="55"/>
      <c r="CM1142" s="55"/>
      <c r="CN1142" s="55"/>
      <c r="CO1142" s="55"/>
      <c r="CP1142" s="55"/>
      <c r="CQ1142" s="55"/>
      <c r="CR1142" s="55"/>
      <c r="CS1142" s="55"/>
      <c r="CT1142" s="55"/>
      <c r="CU1142" s="55"/>
      <c r="CV1142" s="55"/>
      <c r="CW1142" s="55"/>
      <c r="CX1142" s="55"/>
      <c r="CY1142" s="55"/>
      <c r="CZ1142" s="55"/>
      <c r="DA1142" s="55"/>
      <c r="DB1142" s="55"/>
      <c r="DC1142" s="55"/>
      <c r="DD1142" s="55"/>
      <c r="DE1142" s="55"/>
      <c r="DF1142" s="55"/>
      <c r="DG1142" s="55"/>
      <c r="DH1142" s="55"/>
      <c r="DI1142" s="55"/>
      <c r="DJ1142" s="55"/>
      <c r="DK1142" s="55"/>
      <c r="DL1142" s="55"/>
      <c r="DM1142" s="55"/>
      <c r="DN1142" s="55"/>
      <c r="DO1142" s="55"/>
      <c r="DP1142" s="55"/>
      <c r="DQ1142" s="55"/>
      <c r="DR1142" s="55"/>
      <c r="DS1142" s="55"/>
      <c r="DT1142" s="55"/>
      <c r="DU1142" s="55"/>
      <c r="DV1142" s="55"/>
      <c r="DW1142" s="55"/>
      <c r="DX1142" s="55"/>
      <c r="DY1142" s="55"/>
      <c r="DZ1142" s="55"/>
      <c r="EA1142" s="55"/>
      <c r="EB1142" s="55"/>
      <c r="EC1142" s="55"/>
      <c r="ED1142" s="55"/>
      <c r="EE1142" s="55"/>
      <c r="EF1142" s="55"/>
      <c r="EG1142" s="55"/>
      <c r="EH1142" s="55"/>
      <c r="EI1142" s="55"/>
      <c r="EJ1142" s="55"/>
      <c r="EK1142" s="55"/>
      <c r="EL1142" s="55"/>
      <c r="EM1142" s="55"/>
      <c r="EN1142" s="55"/>
      <c r="EO1142" s="55"/>
      <c r="EP1142" s="55"/>
      <c r="EQ1142" s="55"/>
      <c r="ER1142" s="55"/>
      <c r="ES1142" s="55"/>
      <c r="ET1142" s="55"/>
      <c r="EU1142" s="55"/>
      <c r="EV1142" s="55"/>
      <c r="EW1142" s="55"/>
      <c r="EX1142" s="55"/>
      <c r="EY1142" s="55"/>
      <c r="EZ1142" s="55"/>
      <c r="FA1142" s="55"/>
      <c r="FB1142" s="55"/>
      <c r="FC1142" s="55"/>
      <c r="FD1142" s="55"/>
      <c r="FE1142" s="55"/>
      <c r="FF1142" s="55"/>
      <c r="FG1142" s="55"/>
      <c r="FH1142" s="55"/>
      <c r="FI1142" s="55"/>
      <c r="FJ1142" s="55"/>
      <c r="FK1142" s="55"/>
      <c r="FL1142" s="55"/>
      <c r="FM1142" s="55"/>
      <c r="FN1142" s="55"/>
      <c r="FO1142" s="55"/>
      <c r="FP1142" s="55"/>
      <c r="FQ1142" s="55"/>
      <c r="FR1142" s="55"/>
      <c r="FS1142" s="55"/>
      <c r="FT1142" s="55"/>
      <c r="FU1142" s="55"/>
      <c r="FV1142" s="55"/>
      <c r="FW1142" s="55"/>
      <c r="FX1142" s="55"/>
      <c r="FY1142" s="55"/>
      <c r="FZ1142" s="55"/>
      <c r="GA1142" s="55"/>
      <c r="GB1142" s="55"/>
      <c r="GC1142" s="55"/>
      <c r="GD1142" s="55"/>
      <c r="GE1142" s="55"/>
      <c r="GF1142" s="55"/>
      <c r="GG1142" s="55"/>
      <c r="GH1142" s="55"/>
      <c r="GI1142" s="55"/>
      <c r="GJ1142" s="55"/>
      <c r="GK1142" s="55"/>
      <c r="GL1142" s="55"/>
      <c r="GM1142" s="55"/>
      <c r="GN1142" s="55"/>
      <c r="GO1142" s="55"/>
      <c r="GP1142" s="55"/>
      <c r="GQ1142" s="55"/>
      <c r="GR1142" s="55"/>
      <c r="GS1142" s="55"/>
      <c r="GT1142" s="55"/>
      <c r="GU1142" s="55"/>
      <c r="GV1142" s="55"/>
      <c r="GW1142" s="55"/>
      <c r="GX1142" s="55"/>
      <c r="GY1142" s="55"/>
      <c r="GZ1142" s="55"/>
      <c r="HA1142" s="55"/>
      <c r="HB1142" s="55"/>
      <c r="HC1142" s="55"/>
      <c r="HD1142" s="55"/>
      <c r="HE1142" s="55"/>
      <c r="HF1142" s="55"/>
      <c r="HG1142" s="55"/>
      <c r="HH1142" s="55"/>
      <c r="HI1142" s="55"/>
      <c r="HJ1142" s="55"/>
      <c r="HK1142" s="55"/>
      <c r="HL1142" s="55"/>
      <c r="HM1142" s="55"/>
      <c r="HN1142" s="55"/>
      <c r="HO1142" s="55"/>
      <c r="HP1142" s="55"/>
      <c r="HQ1142" s="55"/>
      <c r="HR1142" s="55"/>
      <c r="HS1142" s="55"/>
      <c r="HT1142" s="55"/>
      <c r="HU1142" s="55"/>
      <c r="HV1142" s="55"/>
      <c r="HW1142" s="55"/>
      <c r="HX1142" s="55"/>
      <c r="HY1142" s="55"/>
      <c r="HZ1142" s="55"/>
      <c r="IA1142" s="55"/>
      <c r="IB1142" s="55"/>
      <c r="IC1142" s="55"/>
      <c r="ID1142" s="55"/>
      <c r="IE1142" s="55"/>
      <c r="IF1142" s="55"/>
      <c r="IG1142" s="55"/>
      <c r="IH1142" s="55"/>
      <c r="II1142" s="55"/>
      <c r="IJ1142" s="55"/>
      <c r="IK1142" s="55"/>
      <c r="IL1142" s="55"/>
      <c r="IM1142" s="55"/>
      <c r="IN1142" s="55"/>
      <c r="IO1142" s="55"/>
      <c r="IP1142" s="55"/>
      <c r="IQ1142" s="55"/>
      <c r="IR1142" s="55"/>
      <c r="IS1142" s="55"/>
      <c r="IT1142" s="55"/>
    </row>
    <row r="1143" spans="1:255" s="72" customFormat="1" ht="153.75" customHeight="1">
      <c r="A1143" s="55"/>
      <c r="B1143" s="52" t="s">
        <v>2583</v>
      </c>
      <c r="C1143" s="78" t="s">
        <v>246</v>
      </c>
      <c r="D1143" s="52" t="s">
        <v>316</v>
      </c>
      <c r="E1143" s="56" t="s">
        <v>2067</v>
      </c>
      <c r="F1143" s="56" t="s">
        <v>2068</v>
      </c>
      <c r="G1143" s="56"/>
      <c r="H1143" s="56" t="s">
        <v>245</v>
      </c>
      <c r="I1143" s="82">
        <v>80</v>
      </c>
      <c r="J1143" s="52">
        <v>751000000</v>
      </c>
      <c r="K1143" s="53" t="s">
        <v>2290</v>
      </c>
      <c r="L1143" s="53" t="s">
        <v>1471</v>
      </c>
      <c r="M1143" s="53" t="s">
        <v>2290</v>
      </c>
      <c r="N1143" s="52"/>
      <c r="O1143" s="53" t="s">
        <v>2176</v>
      </c>
      <c r="P1143" s="53" t="s">
        <v>2069</v>
      </c>
      <c r="Q1143" s="52"/>
      <c r="R1143" s="52"/>
      <c r="S1143" s="54"/>
      <c r="T1143" s="52"/>
      <c r="U1143" s="54">
        <f t="shared" si="71"/>
        <v>4464285.7142857146</v>
      </c>
      <c r="V1143" s="54">
        <v>5000000</v>
      </c>
      <c r="W1143" s="52"/>
      <c r="X1143" s="52">
        <v>2012</v>
      </c>
      <c r="Y1143" s="52"/>
      <c r="Z1143" s="55"/>
      <c r="AA1143" s="55"/>
      <c r="AB1143" s="55"/>
      <c r="AC1143" s="55"/>
      <c r="AD1143" s="55"/>
      <c r="AE1143" s="55"/>
      <c r="AF1143" s="55"/>
      <c r="AG1143" s="55"/>
      <c r="AH1143" s="55"/>
      <c r="AI1143" s="55"/>
      <c r="AJ1143" s="55"/>
      <c r="AK1143" s="55"/>
      <c r="AL1143" s="55"/>
      <c r="AM1143" s="55"/>
      <c r="AN1143" s="55"/>
      <c r="AO1143" s="55"/>
      <c r="AP1143" s="55"/>
      <c r="AQ1143" s="55"/>
      <c r="AR1143" s="55"/>
      <c r="AS1143" s="55"/>
      <c r="AT1143" s="55"/>
      <c r="AU1143" s="55"/>
      <c r="AV1143" s="55"/>
      <c r="AW1143" s="55"/>
      <c r="AX1143" s="55"/>
      <c r="AY1143" s="55"/>
      <c r="AZ1143" s="55"/>
      <c r="BA1143" s="55"/>
      <c r="BB1143" s="55"/>
      <c r="BC1143" s="55"/>
      <c r="BD1143" s="55"/>
      <c r="BE1143" s="55"/>
      <c r="BF1143" s="55"/>
      <c r="BG1143" s="55"/>
      <c r="BH1143" s="55"/>
      <c r="BI1143" s="55"/>
      <c r="BJ1143" s="55"/>
      <c r="BK1143" s="55"/>
      <c r="BL1143" s="55"/>
      <c r="BM1143" s="55"/>
      <c r="BN1143" s="55"/>
      <c r="BO1143" s="55"/>
      <c r="BP1143" s="55"/>
      <c r="BQ1143" s="55"/>
      <c r="BR1143" s="55"/>
      <c r="BS1143" s="55"/>
      <c r="BT1143" s="55"/>
      <c r="BU1143" s="55"/>
      <c r="BV1143" s="55"/>
      <c r="BW1143" s="55"/>
      <c r="BX1143" s="55"/>
      <c r="BY1143" s="55"/>
      <c r="BZ1143" s="55"/>
      <c r="CA1143" s="55"/>
      <c r="CB1143" s="55"/>
      <c r="CC1143" s="55"/>
      <c r="CD1143" s="55"/>
      <c r="CE1143" s="55"/>
      <c r="CF1143" s="55"/>
      <c r="CG1143" s="55"/>
      <c r="CH1143" s="55"/>
      <c r="CI1143" s="55"/>
      <c r="CJ1143" s="55"/>
      <c r="CK1143" s="55"/>
      <c r="CL1143" s="55"/>
      <c r="CM1143" s="55"/>
      <c r="CN1143" s="55"/>
      <c r="CO1143" s="55"/>
      <c r="CP1143" s="55"/>
      <c r="CQ1143" s="55"/>
      <c r="CR1143" s="55"/>
      <c r="CS1143" s="55"/>
      <c r="CT1143" s="55"/>
      <c r="CU1143" s="55"/>
      <c r="CV1143" s="55"/>
      <c r="CW1143" s="55"/>
      <c r="CX1143" s="55"/>
      <c r="CY1143" s="55"/>
      <c r="CZ1143" s="55"/>
      <c r="DA1143" s="55"/>
      <c r="DB1143" s="55"/>
      <c r="DC1143" s="55"/>
      <c r="DD1143" s="55"/>
      <c r="DE1143" s="55"/>
      <c r="DF1143" s="55"/>
      <c r="DG1143" s="55"/>
      <c r="DH1143" s="55"/>
      <c r="DI1143" s="55"/>
      <c r="DJ1143" s="55"/>
      <c r="DK1143" s="55"/>
      <c r="DL1143" s="55"/>
      <c r="DM1143" s="55"/>
      <c r="DN1143" s="55"/>
      <c r="DO1143" s="55"/>
      <c r="DP1143" s="55"/>
      <c r="DQ1143" s="55"/>
      <c r="DR1143" s="55"/>
      <c r="DS1143" s="55"/>
      <c r="DT1143" s="55"/>
      <c r="DU1143" s="55"/>
      <c r="DV1143" s="55"/>
      <c r="DW1143" s="55"/>
      <c r="DX1143" s="55"/>
      <c r="DY1143" s="55"/>
      <c r="DZ1143" s="55"/>
      <c r="EA1143" s="55"/>
      <c r="EB1143" s="55"/>
      <c r="EC1143" s="55"/>
      <c r="ED1143" s="55"/>
      <c r="EE1143" s="55"/>
      <c r="EF1143" s="55"/>
      <c r="EG1143" s="55"/>
      <c r="EH1143" s="55"/>
      <c r="EI1143" s="55"/>
      <c r="EJ1143" s="55"/>
      <c r="EK1143" s="55"/>
      <c r="EL1143" s="55"/>
      <c r="EM1143" s="55"/>
      <c r="EN1143" s="55"/>
      <c r="EO1143" s="55"/>
      <c r="EP1143" s="55"/>
      <c r="EQ1143" s="55"/>
      <c r="ER1143" s="55"/>
      <c r="ES1143" s="55"/>
      <c r="ET1143" s="55"/>
      <c r="EU1143" s="55"/>
      <c r="EV1143" s="55"/>
      <c r="EW1143" s="55"/>
      <c r="EX1143" s="55"/>
      <c r="EY1143" s="55"/>
      <c r="EZ1143" s="55"/>
      <c r="FA1143" s="55"/>
      <c r="FB1143" s="55"/>
      <c r="FC1143" s="55"/>
      <c r="FD1143" s="55"/>
      <c r="FE1143" s="55"/>
      <c r="FF1143" s="55"/>
      <c r="FG1143" s="55"/>
      <c r="FH1143" s="55"/>
      <c r="FI1143" s="55"/>
      <c r="FJ1143" s="55"/>
      <c r="FK1143" s="55"/>
      <c r="FL1143" s="55"/>
      <c r="FM1143" s="55"/>
      <c r="FN1143" s="55"/>
      <c r="FO1143" s="55"/>
      <c r="FP1143" s="55"/>
      <c r="FQ1143" s="55"/>
      <c r="FR1143" s="55"/>
      <c r="FS1143" s="55"/>
      <c r="FT1143" s="55"/>
      <c r="FU1143" s="55"/>
      <c r="FV1143" s="55"/>
      <c r="FW1143" s="55"/>
      <c r="FX1143" s="55"/>
      <c r="FY1143" s="55"/>
      <c r="FZ1143" s="55"/>
      <c r="GA1143" s="55"/>
      <c r="GB1143" s="55"/>
      <c r="GC1143" s="55"/>
      <c r="GD1143" s="55"/>
      <c r="GE1143" s="55"/>
      <c r="GF1143" s="55"/>
      <c r="GG1143" s="55"/>
      <c r="GH1143" s="55"/>
      <c r="GI1143" s="55"/>
      <c r="GJ1143" s="55"/>
      <c r="GK1143" s="55"/>
      <c r="GL1143" s="55"/>
      <c r="GM1143" s="55"/>
      <c r="GN1143" s="55"/>
      <c r="GO1143" s="55"/>
      <c r="GP1143" s="55"/>
      <c r="GQ1143" s="55"/>
      <c r="GR1143" s="55"/>
      <c r="GS1143" s="55"/>
      <c r="GT1143" s="55"/>
      <c r="GU1143" s="55"/>
      <c r="GV1143" s="55"/>
      <c r="GW1143" s="55"/>
      <c r="GX1143" s="55"/>
      <c r="GY1143" s="55"/>
      <c r="GZ1143" s="55"/>
      <c r="HA1143" s="55"/>
      <c r="HB1143" s="55"/>
      <c r="HC1143" s="55"/>
      <c r="HD1143" s="55"/>
      <c r="HE1143" s="55"/>
      <c r="HF1143" s="55"/>
      <c r="HG1143" s="55"/>
      <c r="HH1143" s="55"/>
      <c r="HI1143" s="55"/>
      <c r="HJ1143" s="55"/>
      <c r="HK1143" s="55"/>
      <c r="HL1143" s="55"/>
      <c r="HM1143" s="55"/>
      <c r="HN1143" s="55"/>
      <c r="HO1143" s="55"/>
      <c r="HP1143" s="55"/>
      <c r="HQ1143" s="55"/>
      <c r="HR1143" s="55"/>
      <c r="HS1143" s="55"/>
      <c r="HT1143" s="55"/>
      <c r="HU1143" s="55"/>
      <c r="HV1143" s="55"/>
      <c r="HW1143" s="55"/>
      <c r="HX1143" s="55"/>
      <c r="HY1143" s="55"/>
      <c r="HZ1143" s="55"/>
      <c r="IA1143" s="55"/>
      <c r="IB1143" s="55"/>
      <c r="IC1143" s="55"/>
      <c r="ID1143" s="55"/>
      <c r="IE1143" s="55"/>
      <c r="IF1143" s="55"/>
      <c r="IG1143" s="55"/>
      <c r="IH1143" s="55"/>
      <c r="II1143" s="55"/>
      <c r="IJ1143" s="55"/>
      <c r="IK1143" s="55"/>
      <c r="IL1143" s="55"/>
      <c r="IM1143" s="55"/>
      <c r="IN1143" s="55"/>
      <c r="IO1143" s="55"/>
      <c r="IP1143" s="55"/>
      <c r="IQ1143" s="55"/>
      <c r="IR1143" s="55"/>
      <c r="IS1143" s="55"/>
      <c r="IT1143" s="55"/>
    </row>
    <row r="1144" spans="1:255" s="72" customFormat="1" ht="226.5" customHeight="1">
      <c r="A1144" s="55"/>
      <c r="B1144" s="52" t="s">
        <v>620</v>
      </c>
      <c r="C1144" s="78" t="s">
        <v>246</v>
      </c>
      <c r="D1144" s="52" t="s">
        <v>2532</v>
      </c>
      <c r="E1144" s="56" t="s">
        <v>2070</v>
      </c>
      <c r="F1144" s="154" t="str">
        <f>E1144</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144" s="56"/>
      <c r="H1144" s="56" t="s">
        <v>243</v>
      </c>
      <c r="I1144" s="82">
        <v>90</v>
      </c>
      <c r="J1144" s="52">
        <v>751000000</v>
      </c>
      <c r="K1144" s="53" t="s">
        <v>2290</v>
      </c>
      <c r="L1144" s="53" t="s">
        <v>2423</v>
      </c>
      <c r="M1144" s="53" t="s">
        <v>2290</v>
      </c>
      <c r="N1144" s="53"/>
      <c r="O1144" s="53" t="s">
        <v>2424</v>
      </c>
      <c r="P1144" s="53" t="s">
        <v>2069</v>
      </c>
      <c r="Q1144" s="53"/>
      <c r="R1144" s="52"/>
      <c r="S1144" s="52"/>
      <c r="T1144" s="54"/>
      <c r="U1144" s="54">
        <f t="shared" si="71"/>
        <v>0</v>
      </c>
      <c r="V1144" s="54">
        <v>0</v>
      </c>
      <c r="W1144" s="52"/>
      <c r="X1144" s="52">
        <v>2012</v>
      </c>
      <c r="Y1144" s="52">
        <v>11.14</v>
      </c>
      <c r="Z1144" s="171" t="e">
        <f>W1144-'[8]Приложение 1'!#REF!</f>
        <v>#REF!</v>
      </c>
      <c r="AA1144" s="55"/>
      <c r="AB1144" s="55"/>
      <c r="AC1144" s="55"/>
      <c r="AD1144" s="55"/>
      <c r="AE1144" s="55"/>
      <c r="AF1144" s="55"/>
      <c r="AG1144" s="55"/>
      <c r="AH1144" s="55"/>
      <c r="AI1144" s="55"/>
      <c r="AJ1144" s="55"/>
      <c r="AK1144" s="55"/>
      <c r="AL1144" s="55"/>
      <c r="AM1144" s="55"/>
      <c r="AN1144" s="55"/>
      <c r="AO1144" s="55"/>
      <c r="AP1144" s="55"/>
      <c r="AQ1144" s="55"/>
      <c r="AR1144" s="55"/>
      <c r="AS1144" s="55"/>
      <c r="AT1144" s="55"/>
      <c r="AU1144" s="55"/>
      <c r="AV1144" s="55"/>
      <c r="AW1144" s="55"/>
      <c r="AX1144" s="55"/>
      <c r="AY1144" s="55"/>
      <c r="AZ1144" s="55"/>
      <c r="BA1144" s="55"/>
      <c r="BB1144" s="55"/>
      <c r="BC1144" s="55"/>
      <c r="BD1144" s="55"/>
      <c r="BE1144" s="55"/>
      <c r="BF1144" s="55"/>
      <c r="BG1144" s="55"/>
      <c r="BH1144" s="55"/>
      <c r="BI1144" s="55"/>
      <c r="BJ1144" s="55"/>
      <c r="BK1144" s="55"/>
      <c r="BL1144" s="55"/>
      <c r="BM1144" s="55"/>
      <c r="BN1144" s="55"/>
      <c r="BO1144" s="55"/>
      <c r="BP1144" s="55"/>
      <c r="BQ1144" s="55"/>
      <c r="BR1144" s="55"/>
      <c r="BS1144" s="55"/>
      <c r="BT1144" s="55"/>
      <c r="BU1144" s="55"/>
      <c r="BV1144" s="55"/>
      <c r="BW1144" s="55"/>
      <c r="BX1144" s="55"/>
      <c r="BY1144" s="55"/>
      <c r="BZ1144" s="55"/>
      <c r="CA1144" s="55"/>
      <c r="CB1144" s="55"/>
      <c r="CC1144" s="55"/>
      <c r="CD1144" s="55"/>
      <c r="CE1144" s="55"/>
      <c r="CF1144" s="55"/>
      <c r="CG1144" s="55"/>
      <c r="CH1144" s="55"/>
      <c r="CI1144" s="55"/>
      <c r="CJ1144" s="55"/>
      <c r="CK1144" s="55"/>
      <c r="CL1144" s="55"/>
      <c r="CM1144" s="55"/>
      <c r="CN1144" s="55"/>
      <c r="CO1144" s="55"/>
      <c r="CP1144" s="55"/>
      <c r="CQ1144" s="55"/>
      <c r="CR1144" s="55"/>
      <c r="CS1144" s="55"/>
      <c r="CT1144" s="55"/>
      <c r="CU1144" s="55"/>
      <c r="CV1144" s="55"/>
      <c r="CW1144" s="55"/>
      <c r="CX1144" s="55"/>
      <c r="CY1144" s="55"/>
      <c r="CZ1144" s="55"/>
      <c r="DA1144" s="55"/>
      <c r="DB1144" s="55"/>
      <c r="DC1144" s="55"/>
      <c r="DD1144" s="55"/>
      <c r="DE1144" s="55"/>
      <c r="DF1144" s="55"/>
      <c r="DG1144" s="55"/>
      <c r="DH1144" s="55"/>
      <c r="DI1144" s="55"/>
      <c r="DJ1144" s="55"/>
      <c r="DK1144" s="55"/>
      <c r="DL1144" s="55"/>
      <c r="DM1144" s="55"/>
      <c r="DN1144" s="55"/>
      <c r="DO1144" s="55"/>
      <c r="DP1144" s="55"/>
      <c r="DQ1144" s="55"/>
      <c r="DR1144" s="55"/>
      <c r="DS1144" s="55"/>
      <c r="DT1144" s="55"/>
      <c r="DU1144" s="55"/>
      <c r="DV1144" s="55"/>
      <c r="DW1144" s="55"/>
      <c r="DX1144" s="55"/>
      <c r="DY1144" s="55"/>
      <c r="DZ1144" s="55"/>
      <c r="EA1144" s="55"/>
      <c r="EB1144" s="55"/>
      <c r="EC1144" s="55"/>
      <c r="ED1144" s="55"/>
      <c r="EE1144" s="55"/>
      <c r="EF1144" s="55"/>
      <c r="EG1144" s="55"/>
      <c r="EH1144" s="55"/>
      <c r="EI1144" s="55"/>
      <c r="EJ1144" s="55"/>
      <c r="EK1144" s="55"/>
      <c r="EL1144" s="55"/>
      <c r="EM1144" s="55"/>
      <c r="EN1144" s="55"/>
      <c r="EO1144" s="55"/>
      <c r="EP1144" s="55"/>
      <c r="EQ1144" s="55"/>
      <c r="ER1144" s="55"/>
      <c r="ES1144" s="55"/>
      <c r="ET1144" s="55"/>
      <c r="EU1144" s="55"/>
      <c r="EV1144" s="55"/>
      <c r="EW1144" s="55"/>
      <c r="EX1144" s="55"/>
      <c r="EY1144" s="55"/>
      <c r="EZ1144" s="55"/>
      <c r="FA1144" s="55"/>
      <c r="FB1144" s="55"/>
      <c r="FC1144" s="55"/>
      <c r="FD1144" s="55"/>
      <c r="FE1144" s="55"/>
      <c r="FF1144" s="55"/>
      <c r="FG1144" s="55"/>
      <c r="FH1144" s="55"/>
      <c r="FI1144" s="55"/>
      <c r="FJ1144" s="55"/>
      <c r="FK1144" s="55"/>
      <c r="FL1144" s="55"/>
      <c r="FM1144" s="55"/>
      <c r="FN1144" s="55"/>
      <c r="FO1144" s="55"/>
      <c r="FP1144" s="55"/>
      <c r="FQ1144" s="55"/>
      <c r="FR1144" s="55"/>
      <c r="FS1144" s="55"/>
      <c r="FT1144" s="55"/>
      <c r="FU1144" s="55"/>
      <c r="FV1144" s="55"/>
      <c r="FW1144" s="55"/>
      <c r="FX1144" s="55"/>
      <c r="FY1144" s="55"/>
      <c r="FZ1144" s="55"/>
      <c r="GA1144" s="55"/>
      <c r="GB1144" s="55"/>
      <c r="GC1144" s="55"/>
      <c r="GD1144" s="55"/>
      <c r="GE1144" s="55"/>
      <c r="GF1144" s="55"/>
      <c r="GG1144" s="55"/>
      <c r="GH1144" s="55"/>
      <c r="GI1144" s="55"/>
      <c r="GJ1144" s="55"/>
      <c r="GK1144" s="55"/>
      <c r="GL1144" s="55"/>
      <c r="GM1144" s="55"/>
      <c r="GN1144" s="55"/>
      <c r="GO1144" s="55"/>
      <c r="GP1144" s="55"/>
      <c r="GQ1144" s="55"/>
      <c r="GR1144" s="55"/>
      <c r="GS1144" s="55"/>
      <c r="GT1144" s="55"/>
      <c r="GU1144" s="55"/>
      <c r="GV1144" s="55"/>
      <c r="GW1144" s="55"/>
      <c r="GX1144" s="55"/>
      <c r="GY1144" s="55"/>
      <c r="GZ1144" s="55"/>
      <c r="HA1144" s="55"/>
      <c r="HB1144" s="55"/>
      <c r="HC1144" s="55"/>
      <c r="HD1144" s="55"/>
      <c r="HE1144" s="55"/>
      <c r="HF1144" s="55"/>
      <c r="HG1144" s="55"/>
      <c r="HH1144" s="55"/>
      <c r="HI1144" s="55"/>
      <c r="HJ1144" s="55"/>
      <c r="HK1144" s="55"/>
      <c r="HL1144" s="55"/>
      <c r="HM1144" s="55"/>
      <c r="HN1144" s="55"/>
      <c r="HO1144" s="55"/>
      <c r="HP1144" s="55"/>
      <c r="HQ1144" s="55"/>
      <c r="HR1144" s="55"/>
      <c r="HS1144" s="55"/>
      <c r="HT1144" s="55"/>
      <c r="HU1144" s="55"/>
      <c r="HV1144" s="55"/>
      <c r="HW1144" s="55"/>
      <c r="HX1144" s="55"/>
      <c r="HY1144" s="55"/>
      <c r="HZ1144" s="55"/>
      <c r="IA1144" s="55"/>
      <c r="IB1144" s="55"/>
      <c r="IC1144" s="55"/>
      <c r="ID1144" s="55"/>
      <c r="IE1144" s="55"/>
      <c r="IF1144" s="55"/>
      <c r="IG1144" s="55"/>
      <c r="IH1144" s="55"/>
      <c r="II1144" s="55"/>
      <c r="IJ1144" s="55"/>
      <c r="IK1144" s="55"/>
      <c r="IL1144" s="55"/>
      <c r="IM1144" s="55"/>
      <c r="IN1144" s="55"/>
      <c r="IO1144" s="55"/>
      <c r="IP1144" s="55"/>
      <c r="IQ1144" s="55"/>
      <c r="IR1144" s="55"/>
      <c r="IS1144" s="55"/>
      <c r="IT1144" s="55"/>
      <c r="IU1144" s="55"/>
    </row>
    <row r="1145" spans="1:255" s="72" customFormat="1" ht="198" customHeight="1">
      <c r="A1145" s="55"/>
      <c r="B1145" s="52" t="s">
        <v>2584</v>
      </c>
      <c r="C1145" s="78" t="s">
        <v>246</v>
      </c>
      <c r="D1145" s="52" t="s">
        <v>2532</v>
      </c>
      <c r="E1145" s="56" t="s">
        <v>2070</v>
      </c>
      <c r="F1145" s="56" t="str">
        <f>E1145</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145" s="56"/>
      <c r="H1145" s="56" t="s">
        <v>243</v>
      </c>
      <c r="I1145" s="82">
        <v>90</v>
      </c>
      <c r="J1145" s="52">
        <v>751000000</v>
      </c>
      <c r="K1145" s="53" t="s">
        <v>2290</v>
      </c>
      <c r="L1145" s="53" t="s">
        <v>1502</v>
      </c>
      <c r="M1145" s="53" t="s">
        <v>2290</v>
      </c>
      <c r="N1145" s="53"/>
      <c r="O1145" s="53" t="s">
        <v>2585</v>
      </c>
      <c r="P1145" s="53" t="s">
        <v>2069</v>
      </c>
      <c r="Q1145" s="53"/>
      <c r="R1145" s="52"/>
      <c r="S1145" s="52"/>
      <c r="T1145" s="54"/>
      <c r="U1145" s="54">
        <f t="shared" si="71"/>
        <v>0</v>
      </c>
      <c r="V1145" s="54">
        <v>0</v>
      </c>
      <c r="W1145" s="52"/>
      <c r="X1145" s="52">
        <v>2012</v>
      </c>
      <c r="Y1145" s="52">
        <v>11</v>
      </c>
      <c r="Z1145" s="171" t="e">
        <f>W1145-'[8]Приложение 1'!#REF!</f>
        <v>#REF!</v>
      </c>
      <c r="AA1145" s="55"/>
      <c r="AB1145" s="55"/>
      <c r="AC1145" s="55"/>
      <c r="AD1145" s="55"/>
      <c r="AE1145" s="55"/>
      <c r="AF1145" s="55"/>
      <c r="AG1145" s="55"/>
      <c r="AH1145" s="55"/>
      <c r="AI1145" s="55"/>
      <c r="AJ1145" s="55"/>
      <c r="AK1145" s="55"/>
      <c r="AL1145" s="55"/>
      <c r="AM1145" s="55"/>
      <c r="AN1145" s="55"/>
      <c r="AO1145" s="55"/>
      <c r="AP1145" s="55"/>
      <c r="AQ1145" s="55"/>
      <c r="AR1145" s="55"/>
      <c r="AS1145" s="55"/>
      <c r="AT1145" s="55"/>
      <c r="AU1145" s="55"/>
      <c r="AV1145" s="55"/>
      <c r="AW1145" s="55"/>
      <c r="AX1145" s="55"/>
      <c r="AY1145" s="55"/>
      <c r="AZ1145" s="55"/>
      <c r="BA1145" s="55"/>
      <c r="BB1145" s="55"/>
      <c r="BC1145" s="55"/>
      <c r="BD1145" s="55"/>
      <c r="BE1145" s="55"/>
      <c r="BF1145" s="55"/>
      <c r="BG1145" s="55"/>
      <c r="BH1145" s="55"/>
      <c r="BI1145" s="55"/>
      <c r="BJ1145" s="55"/>
      <c r="BK1145" s="55"/>
      <c r="BL1145" s="55"/>
      <c r="BM1145" s="55"/>
      <c r="BN1145" s="55"/>
      <c r="BO1145" s="55"/>
      <c r="BP1145" s="55"/>
      <c r="BQ1145" s="55"/>
      <c r="BR1145" s="55"/>
      <c r="BS1145" s="55"/>
      <c r="BT1145" s="55"/>
      <c r="BU1145" s="55"/>
      <c r="BV1145" s="55"/>
      <c r="BW1145" s="55"/>
      <c r="BX1145" s="55"/>
      <c r="BY1145" s="55"/>
      <c r="BZ1145" s="55"/>
      <c r="CA1145" s="55"/>
      <c r="CB1145" s="55"/>
      <c r="CC1145" s="55"/>
      <c r="CD1145" s="55"/>
      <c r="CE1145" s="55"/>
      <c r="CF1145" s="55"/>
      <c r="CG1145" s="55"/>
      <c r="CH1145" s="55"/>
      <c r="CI1145" s="55"/>
      <c r="CJ1145" s="55"/>
      <c r="CK1145" s="55"/>
      <c r="CL1145" s="55"/>
      <c r="CM1145" s="55"/>
      <c r="CN1145" s="55"/>
      <c r="CO1145" s="55"/>
      <c r="CP1145" s="55"/>
      <c r="CQ1145" s="55"/>
      <c r="CR1145" s="55"/>
      <c r="CS1145" s="55"/>
      <c r="CT1145" s="55"/>
      <c r="CU1145" s="55"/>
      <c r="CV1145" s="55"/>
      <c r="CW1145" s="55"/>
      <c r="CX1145" s="55"/>
      <c r="CY1145" s="55"/>
      <c r="CZ1145" s="55"/>
      <c r="DA1145" s="55"/>
      <c r="DB1145" s="55"/>
      <c r="DC1145" s="55"/>
      <c r="DD1145" s="55"/>
      <c r="DE1145" s="55"/>
      <c r="DF1145" s="55"/>
      <c r="DG1145" s="55"/>
      <c r="DH1145" s="55"/>
      <c r="DI1145" s="55"/>
      <c r="DJ1145" s="55"/>
      <c r="DK1145" s="55"/>
      <c r="DL1145" s="55"/>
      <c r="DM1145" s="55"/>
      <c r="DN1145" s="55"/>
      <c r="DO1145" s="55"/>
      <c r="DP1145" s="55"/>
      <c r="DQ1145" s="55"/>
      <c r="DR1145" s="55"/>
      <c r="DS1145" s="55"/>
      <c r="DT1145" s="55"/>
      <c r="DU1145" s="55"/>
      <c r="DV1145" s="55"/>
      <c r="DW1145" s="55"/>
      <c r="DX1145" s="55"/>
      <c r="DY1145" s="55"/>
      <c r="DZ1145" s="55"/>
      <c r="EA1145" s="55"/>
      <c r="EB1145" s="55"/>
      <c r="EC1145" s="55"/>
      <c r="ED1145" s="55"/>
      <c r="EE1145" s="55"/>
      <c r="EF1145" s="55"/>
      <c r="EG1145" s="55"/>
      <c r="EH1145" s="55"/>
      <c r="EI1145" s="55"/>
      <c r="EJ1145" s="55"/>
      <c r="EK1145" s="55"/>
      <c r="EL1145" s="55"/>
      <c r="EM1145" s="55"/>
      <c r="EN1145" s="55"/>
      <c r="EO1145" s="55"/>
      <c r="EP1145" s="55"/>
      <c r="EQ1145" s="55"/>
      <c r="ER1145" s="55"/>
      <c r="ES1145" s="55"/>
      <c r="ET1145" s="55"/>
      <c r="EU1145" s="55"/>
      <c r="EV1145" s="55"/>
      <c r="EW1145" s="55"/>
      <c r="EX1145" s="55"/>
      <c r="EY1145" s="55"/>
      <c r="EZ1145" s="55"/>
      <c r="FA1145" s="55"/>
      <c r="FB1145" s="55"/>
      <c r="FC1145" s="55"/>
      <c r="FD1145" s="55"/>
      <c r="FE1145" s="55"/>
      <c r="FF1145" s="55"/>
      <c r="FG1145" s="55"/>
      <c r="FH1145" s="55"/>
      <c r="FI1145" s="55"/>
      <c r="FJ1145" s="55"/>
      <c r="FK1145" s="55"/>
      <c r="FL1145" s="55"/>
      <c r="FM1145" s="55"/>
      <c r="FN1145" s="55"/>
      <c r="FO1145" s="55"/>
      <c r="FP1145" s="55"/>
      <c r="FQ1145" s="55"/>
      <c r="FR1145" s="55"/>
      <c r="FS1145" s="55"/>
      <c r="FT1145" s="55"/>
      <c r="FU1145" s="55"/>
      <c r="FV1145" s="55"/>
      <c r="FW1145" s="55"/>
      <c r="FX1145" s="55"/>
      <c r="FY1145" s="55"/>
      <c r="FZ1145" s="55"/>
      <c r="GA1145" s="55"/>
      <c r="GB1145" s="55"/>
      <c r="GC1145" s="55"/>
      <c r="GD1145" s="55"/>
      <c r="GE1145" s="55"/>
      <c r="GF1145" s="55"/>
      <c r="GG1145" s="55"/>
      <c r="GH1145" s="55"/>
      <c r="GI1145" s="55"/>
      <c r="GJ1145" s="55"/>
      <c r="GK1145" s="55"/>
      <c r="GL1145" s="55"/>
      <c r="GM1145" s="55"/>
      <c r="GN1145" s="55"/>
      <c r="GO1145" s="55"/>
      <c r="GP1145" s="55"/>
      <c r="GQ1145" s="55"/>
      <c r="GR1145" s="55"/>
      <c r="GS1145" s="55"/>
      <c r="GT1145" s="55"/>
      <c r="GU1145" s="55"/>
      <c r="GV1145" s="55"/>
      <c r="GW1145" s="55"/>
      <c r="GX1145" s="55"/>
      <c r="GY1145" s="55"/>
      <c r="GZ1145" s="55"/>
      <c r="HA1145" s="55"/>
      <c r="HB1145" s="55"/>
      <c r="HC1145" s="55"/>
      <c r="HD1145" s="55"/>
      <c r="HE1145" s="55"/>
      <c r="HF1145" s="55"/>
      <c r="HG1145" s="55"/>
      <c r="HH1145" s="55"/>
      <c r="HI1145" s="55"/>
      <c r="HJ1145" s="55"/>
      <c r="HK1145" s="55"/>
      <c r="HL1145" s="55"/>
      <c r="HM1145" s="55"/>
      <c r="HN1145" s="55"/>
      <c r="HO1145" s="55"/>
      <c r="HP1145" s="55"/>
      <c r="HQ1145" s="55"/>
      <c r="HR1145" s="55"/>
      <c r="HS1145" s="55"/>
      <c r="HT1145" s="55"/>
      <c r="HU1145" s="55"/>
      <c r="HV1145" s="55"/>
      <c r="HW1145" s="55"/>
      <c r="HX1145" s="55"/>
      <c r="HY1145" s="55"/>
      <c r="HZ1145" s="55"/>
      <c r="IA1145" s="55"/>
      <c r="IB1145" s="55"/>
      <c r="IC1145" s="55"/>
      <c r="ID1145" s="55"/>
      <c r="IE1145" s="55"/>
      <c r="IF1145" s="55"/>
      <c r="IG1145" s="55"/>
      <c r="IH1145" s="55"/>
      <c r="II1145" s="55"/>
      <c r="IJ1145" s="55"/>
      <c r="IK1145" s="55"/>
      <c r="IL1145" s="55"/>
      <c r="IM1145" s="55"/>
      <c r="IN1145" s="55"/>
      <c r="IO1145" s="55"/>
      <c r="IP1145" s="55"/>
      <c r="IQ1145" s="55"/>
      <c r="IR1145" s="55"/>
      <c r="IS1145" s="55"/>
      <c r="IT1145" s="55"/>
      <c r="IU1145" s="55"/>
    </row>
    <row r="1146" spans="1:255" s="72" customFormat="1" ht="198" customHeight="1">
      <c r="A1146" s="55"/>
      <c r="B1146" s="52" t="s">
        <v>2855</v>
      </c>
      <c r="C1146" s="78" t="s">
        <v>246</v>
      </c>
      <c r="D1146" s="52" t="s">
        <v>2532</v>
      </c>
      <c r="E1146" s="56" t="s">
        <v>2070</v>
      </c>
      <c r="F1146" s="56" t="str">
        <f>E1146</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146" s="56"/>
      <c r="H1146" s="56" t="s">
        <v>243</v>
      </c>
      <c r="I1146" s="82">
        <v>90</v>
      </c>
      <c r="J1146" s="52">
        <v>751000000</v>
      </c>
      <c r="K1146" s="53" t="s">
        <v>2290</v>
      </c>
      <c r="L1146" s="53" t="s">
        <v>1685</v>
      </c>
      <c r="M1146" s="53" t="s">
        <v>2290</v>
      </c>
      <c r="N1146" s="53"/>
      <c r="O1146" s="53" t="s">
        <v>2585</v>
      </c>
      <c r="P1146" s="53" t="s">
        <v>2069</v>
      </c>
      <c r="Q1146" s="53"/>
      <c r="R1146" s="52"/>
      <c r="S1146" s="52"/>
      <c r="T1146" s="54"/>
      <c r="U1146" s="54">
        <f t="shared" si="71"/>
        <v>1607142.857142857</v>
      </c>
      <c r="V1146" s="54">
        <v>1800000</v>
      </c>
      <c r="W1146" s="52"/>
      <c r="X1146" s="52">
        <v>2012</v>
      </c>
      <c r="Y1146" s="52"/>
      <c r="Z1146" s="171" t="e">
        <f>W1146-'[8]Приложение 1'!#REF!</f>
        <v>#REF!</v>
      </c>
      <c r="AA1146" s="55"/>
      <c r="AB1146" s="55"/>
      <c r="AC1146" s="55"/>
      <c r="AD1146" s="55"/>
      <c r="AE1146" s="55"/>
      <c r="AF1146" s="55"/>
      <c r="AG1146" s="55"/>
      <c r="AH1146" s="55"/>
      <c r="AI1146" s="55"/>
      <c r="AJ1146" s="55"/>
      <c r="AK1146" s="55"/>
      <c r="AL1146" s="55"/>
      <c r="AM1146" s="55"/>
      <c r="AN1146" s="55"/>
      <c r="AO1146" s="55"/>
      <c r="AP1146" s="55"/>
      <c r="AQ1146" s="55"/>
      <c r="AR1146" s="55"/>
      <c r="AS1146" s="55"/>
      <c r="AT1146" s="55"/>
      <c r="AU1146" s="55"/>
      <c r="AV1146" s="55"/>
      <c r="AW1146" s="55"/>
      <c r="AX1146" s="55"/>
      <c r="AY1146" s="55"/>
      <c r="AZ1146" s="55"/>
      <c r="BA1146" s="55"/>
      <c r="BB1146" s="55"/>
      <c r="BC1146" s="55"/>
      <c r="BD1146" s="55"/>
      <c r="BE1146" s="55"/>
      <c r="BF1146" s="55"/>
      <c r="BG1146" s="55"/>
      <c r="BH1146" s="55"/>
      <c r="BI1146" s="55"/>
      <c r="BJ1146" s="55"/>
      <c r="BK1146" s="55"/>
      <c r="BL1146" s="55"/>
      <c r="BM1146" s="55"/>
      <c r="BN1146" s="55"/>
      <c r="BO1146" s="55"/>
      <c r="BP1146" s="55"/>
      <c r="BQ1146" s="55"/>
      <c r="BR1146" s="55"/>
      <c r="BS1146" s="55"/>
      <c r="BT1146" s="55"/>
      <c r="BU1146" s="55"/>
      <c r="BV1146" s="55"/>
      <c r="BW1146" s="55"/>
      <c r="BX1146" s="55"/>
      <c r="BY1146" s="55"/>
      <c r="BZ1146" s="55"/>
      <c r="CA1146" s="55"/>
      <c r="CB1146" s="55"/>
      <c r="CC1146" s="55"/>
      <c r="CD1146" s="55"/>
      <c r="CE1146" s="55"/>
      <c r="CF1146" s="55"/>
      <c r="CG1146" s="55"/>
      <c r="CH1146" s="55"/>
      <c r="CI1146" s="55"/>
      <c r="CJ1146" s="55"/>
      <c r="CK1146" s="55"/>
      <c r="CL1146" s="55"/>
      <c r="CM1146" s="55"/>
      <c r="CN1146" s="55"/>
      <c r="CO1146" s="55"/>
      <c r="CP1146" s="55"/>
      <c r="CQ1146" s="55"/>
      <c r="CR1146" s="55"/>
      <c r="CS1146" s="55"/>
      <c r="CT1146" s="55"/>
      <c r="CU1146" s="55"/>
      <c r="CV1146" s="55"/>
      <c r="CW1146" s="55"/>
      <c r="CX1146" s="55"/>
      <c r="CY1146" s="55"/>
      <c r="CZ1146" s="55"/>
      <c r="DA1146" s="55"/>
      <c r="DB1146" s="55"/>
      <c r="DC1146" s="55"/>
      <c r="DD1146" s="55"/>
      <c r="DE1146" s="55"/>
      <c r="DF1146" s="55"/>
      <c r="DG1146" s="55"/>
      <c r="DH1146" s="55"/>
      <c r="DI1146" s="55"/>
      <c r="DJ1146" s="55"/>
      <c r="DK1146" s="55"/>
      <c r="DL1146" s="55"/>
      <c r="DM1146" s="55"/>
      <c r="DN1146" s="55"/>
      <c r="DO1146" s="55"/>
      <c r="DP1146" s="55"/>
      <c r="DQ1146" s="55"/>
      <c r="DR1146" s="55"/>
      <c r="DS1146" s="55"/>
      <c r="DT1146" s="55"/>
      <c r="DU1146" s="55"/>
      <c r="DV1146" s="55"/>
      <c r="DW1146" s="55"/>
      <c r="DX1146" s="55"/>
      <c r="DY1146" s="55"/>
      <c r="DZ1146" s="55"/>
      <c r="EA1146" s="55"/>
      <c r="EB1146" s="55"/>
      <c r="EC1146" s="55"/>
      <c r="ED1146" s="55"/>
      <c r="EE1146" s="55"/>
      <c r="EF1146" s="55"/>
      <c r="EG1146" s="55"/>
      <c r="EH1146" s="55"/>
      <c r="EI1146" s="55"/>
      <c r="EJ1146" s="55"/>
      <c r="EK1146" s="55"/>
      <c r="EL1146" s="55"/>
      <c r="EM1146" s="55"/>
      <c r="EN1146" s="55"/>
      <c r="EO1146" s="55"/>
      <c r="EP1146" s="55"/>
      <c r="EQ1146" s="55"/>
      <c r="ER1146" s="55"/>
      <c r="ES1146" s="55"/>
      <c r="ET1146" s="55"/>
      <c r="EU1146" s="55"/>
      <c r="EV1146" s="55"/>
      <c r="EW1146" s="55"/>
      <c r="EX1146" s="55"/>
      <c r="EY1146" s="55"/>
      <c r="EZ1146" s="55"/>
      <c r="FA1146" s="55"/>
      <c r="FB1146" s="55"/>
      <c r="FC1146" s="55"/>
      <c r="FD1146" s="55"/>
      <c r="FE1146" s="55"/>
      <c r="FF1146" s="55"/>
      <c r="FG1146" s="55"/>
      <c r="FH1146" s="55"/>
      <c r="FI1146" s="55"/>
      <c r="FJ1146" s="55"/>
      <c r="FK1146" s="55"/>
      <c r="FL1146" s="55"/>
      <c r="FM1146" s="55"/>
      <c r="FN1146" s="55"/>
      <c r="FO1146" s="55"/>
      <c r="FP1146" s="55"/>
      <c r="FQ1146" s="55"/>
      <c r="FR1146" s="55"/>
      <c r="FS1146" s="55"/>
      <c r="FT1146" s="55"/>
      <c r="FU1146" s="55"/>
      <c r="FV1146" s="55"/>
      <c r="FW1146" s="55"/>
      <c r="FX1146" s="55"/>
      <c r="FY1146" s="55"/>
      <c r="FZ1146" s="55"/>
      <c r="GA1146" s="55"/>
      <c r="GB1146" s="55"/>
      <c r="GC1146" s="55"/>
      <c r="GD1146" s="55"/>
      <c r="GE1146" s="55"/>
      <c r="GF1146" s="55"/>
      <c r="GG1146" s="55"/>
      <c r="GH1146" s="55"/>
      <c r="GI1146" s="55"/>
      <c r="GJ1146" s="55"/>
      <c r="GK1146" s="55"/>
      <c r="GL1146" s="55"/>
      <c r="GM1146" s="55"/>
      <c r="GN1146" s="55"/>
      <c r="GO1146" s="55"/>
      <c r="GP1146" s="55"/>
      <c r="GQ1146" s="55"/>
      <c r="GR1146" s="55"/>
      <c r="GS1146" s="55"/>
      <c r="GT1146" s="55"/>
      <c r="GU1146" s="55"/>
      <c r="GV1146" s="55"/>
      <c r="GW1146" s="55"/>
      <c r="GX1146" s="55"/>
      <c r="GY1146" s="55"/>
      <c r="GZ1146" s="55"/>
      <c r="HA1146" s="55"/>
      <c r="HB1146" s="55"/>
      <c r="HC1146" s="55"/>
      <c r="HD1146" s="55"/>
      <c r="HE1146" s="55"/>
      <c r="HF1146" s="55"/>
      <c r="HG1146" s="55"/>
      <c r="HH1146" s="55"/>
      <c r="HI1146" s="55"/>
      <c r="HJ1146" s="55"/>
      <c r="HK1146" s="55"/>
      <c r="HL1146" s="55"/>
      <c r="HM1146" s="55"/>
      <c r="HN1146" s="55"/>
      <c r="HO1146" s="55"/>
      <c r="HP1146" s="55"/>
      <c r="HQ1146" s="55"/>
      <c r="HR1146" s="55"/>
      <c r="HS1146" s="55"/>
      <c r="HT1146" s="55"/>
      <c r="HU1146" s="55"/>
      <c r="HV1146" s="55"/>
      <c r="HW1146" s="55"/>
      <c r="HX1146" s="55"/>
      <c r="HY1146" s="55"/>
      <c r="HZ1146" s="55"/>
      <c r="IA1146" s="55"/>
      <c r="IB1146" s="55"/>
      <c r="IC1146" s="55"/>
      <c r="ID1146" s="55"/>
      <c r="IE1146" s="55"/>
      <c r="IF1146" s="55"/>
      <c r="IG1146" s="55"/>
      <c r="IH1146" s="55"/>
      <c r="II1146" s="55"/>
      <c r="IJ1146" s="55"/>
      <c r="IK1146" s="55"/>
      <c r="IL1146" s="55"/>
      <c r="IM1146" s="55"/>
      <c r="IN1146" s="55"/>
      <c r="IO1146" s="55"/>
      <c r="IP1146" s="55"/>
      <c r="IQ1146" s="55"/>
      <c r="IR1146" s="55"/>
      <c r="IS1146" s="55"/>
      <c r="IT1146" s="55"/>
      <c r="IU1146" s="55"/>
    </row>
    <row r="1147" spans="1:255" s="55" customFormat="1" ht="89.25" outlineLevel="1">
      <c r="B1147" s="52" t="s">
        <v>621</v>
      </c>
      <c r="C1147" s="78" t="s">
        <v>246</v>
      </c>
      <c r="D1147" s="52" t="s">
        <v>312</v>
      </c>
      <c r="E1147" s="56" t="s">
        <v>244</v>
      </c>
      <c r="F1147" s="56" t="s">
        <v>1481</v>
      </c>
      <c r="G1147" s="56"/>
      <c r="H1147" s="52" t="s">
        <v>243</v>
      </c>
      <c r="I1147" s="52">
        <v>100</v>
      </c>
      <c r="J1147" s="52">
        <v>751000000</v>
      </c>
      <c r="K1147" s="53" t="s">
        <v>2290</v>
      </c>
      <c r="L1147" s="53" t="s">
        <v>1468</v>
      </c>
      <c r="M1147" s="53" t="s">
        <v>2290</v>
      </c>
      <c r="N1147" s="52"/>
      <c r="O1147" s="53" t="s">
        <v>1975</v>
      </c>
      <c r="P1147" s="53" t="s">
        <v>1482</v>
      </c>
      <c r="Q1147" s="52"/>
      <c r="R1147" s="52"/>
      <c r="S1147" s="54"/>
      <c r="T1147" s="52"/>
      <c r="U1147" s="54">
        <f t="shared" si="71"/>
        <v>4523308.0357142854</v>
      </c>
      <c r="V1147" s="68">
        <f>[1]связь!$B$6</f>
        <v>5066105</v>
      </c>
      <c r="W1147" s="52"/>
      <c r="X1147" s="52">
        <v>2012</v>
      </c>
      <c r="Y1147" s="52"/>
    </row>
    <row r="1148" spans="1:255" s="55" customFormat="1" ht="76.5" outlineLevel="1">
      <c r="B1148" s="52" t="s">
        <v>622</v>
      </c>
      <c r="C1148" s="78" t="s">
        <v>246</v>
      </c>
      <c r="D1148" s="52" t="s">
        <v>310</v>
      </c>
      <c r="E1148" s="56" t="s">
        <v>179</v>
      </c>
      <c r="F1148" s="56" t="s">
        <v>1483</v>
      </c>
      <c r="G1148" s="56"/>
      <c r="H1148" s="52" t="s">
        <v>243</v>
      </c>
      <c r="I1148" s="52">
        <v>100</v>
      </c>
      <c r="J1148" s="52">
        <v>751000000</v>
      </c>
      <c r="K1148" s="53" t="s">
        <v>2290</v>
      </c>
      <c r="L1148" s="53" t="s">
        <v>1468</v>
      </c>
      <c r="M1148" s="53" t="s">
        <v>2290</v>
      </c>
      <c r="N1148" s="52"/>
      <c r="O1148" s="53" t="s">
        <v>1975</v>
      </c>
      <c r="P1148" s="53" t="s">
        <v>1485</v>
      </c>
      <c r="Q1148" s="52"/>
      <c r="R1148" s="52"/>
      <c r="S1148" s="54"/>
      <c r="T1148" s="52"/>
      <c r="U1148" s="54">
        <f t="shared" si="71"/>
        <v>0</v>
      </c>
      <c r="V1148" s="68">
        <v>0</v>
      </c>
      <c r="W1148" s="52"/>
      <c r="X1148" s="52">
        <v>2012</v>
      </c>
      <c r="Y1148" s="52" t="s">
        <v>2502</v>
      </c>
    </row>
    <row r="1149" spans="1:255" s="55" customFormat="1" ht="76.5" outlineLevel="1">
      <c r="B1149" s="52" t="s">
        <v>2523</v>
      </c>
      <c r="C1149" s="78" t="s">
        <v>246</v>
      </c>
      <c r="D1149" s="52" t="s">
        <v>310</v>
      </c>
      <c r="E1149" s="56" t="s">
        <v>179</v>
      </c>
      <c r="F1149" s="56" t="s">
        <v>1483</v>
      </c>
      <c r="G1149" s="56"/>
      <c r="H1149" s="52" t="s">
        <v>243</v>
      </c>
      <c r="I1149" s="52">
        <v>100</v>
      </c>
      <c r="J1149" s="52">
        <v>751000000</v>
      </c>
      <c r="K1149" s="53" t="s">
        <v>2290</v>
      </c>
      <c r="L1149" s="53" t="s">
        <v>1468</v>
      </c>
      <c r="M1149" s="53" t="s">
        <v>2290</v>
      </c>
      <c r="N1149" s="52"/>
      <c r="O1149" s="53" t="s">
        <v>1975</v>
      </c>
      <c r="P1149" s="53" t="s">
        <v>1485</v>
      </c>
      <c r="Q1149" s="52"/>
      <c r="R1149" s="52"/>
      <c r="S1149" s="54"/>
      <c r="T1149" s="52"/>
      <c r="U1149" s="54">
        <f t="shared" ref="U1149" si="77">V1149/112*100</f>
        <v>24098482.142857142</v>
      </c>
      <c r="V1149" s="68">
        <v>26990300</v>
      </c>
      <c r="W1149" s="52"/>
      <c r="X1149" s="52">
        <v>2012</v>
      </c>
      <c r="Y1149" s="52"/>
    </row>
    <row r="1150" spans="1:255" s="55" customFormat="1" ht="76.5" outlineLevel="1">
      <c r="B1150" s="52" t="s">
        <v>623</v>
      </c>
      <c r="C1150" s="78" t="s">
        <v>246</v>
      </c>
      <c r="D1150" s="52" t="s">
        <v>310</v>
      </c>
      <c r="E1150" s="56" t="s">
        <v>180</v>
      </c>
      <c r="F1150" s="56" t="s">
        <v>1484</v>
      </c>
      <c r="G1150" s="56"/>
      <c r="H1150" s="52" t="s">
        <v>243</v>
      </c>
      <c r="I1150" s="52">
        <v>100</v>
      </c>
      <c r="J1150" s="52">
        <v>751000000</v>
      </c>
      <c r="K1150" s="53" t="s">
        <v>2290</v>
      </c>
      <c r="L1150" s="53" t="s">
        <v>1468</v>
      </c>
      <c r="M1150" s="53" t="s">
        <v>2290</v>
      </c>
      <c r="N1150" s="52"/>
      <c r="O1150" s="53" t="s">
        <v>1975</v>
      </c>
      <c r="P1150" s="53" t="s">
        <v>1485</v>
      </c>
      <c r="Q1150" s="52"/>
      <c r="R1150" s="52"/>
      <c r="S1150" s="54"/>
      <c r="T1150" s="52"/>
      <c r="U1150" s="54">
        <f t="shared" ref="U1150:U1151" si="78">V1150/112*100</f>
        <v>0</v>
      </c>
      <c r="V1150" s="68">
        <v>0</v>
      </c>
      <c r="W1150" s="52"/>
      <c r="X1150" s="52">
        <v>2012</v>
      </c>
      <c r="Y1150" s="52" t="s">
        <v>2502</v>
      </c>
    </row>
    <row r="1151" spans="1:255" s="55" customFormat="1" ht="76.5" outlineLevel="1">
      <c r="B1151" s="52" t="s">
        <v>2524</v>
      </c>
      <c r="C1151" s="78" t="s">
        <v>246</v>
      </c>
      <c r="D1151" s="52" t="s">
        <v>310</v>
      </c>
      <c r="E1151" s="56" t="s">
        <v>180</v>
      </c>
      <c r="F1151" s="56" t="s">
        <v>1484</v>
      </c>
      <c r="G1151" s="56"/>
      <c r="H1151" s="52" t="s">
        <v>243</v>
      </c>
      <c r="I1151" s="52">
        <v>100</v>
      </c>
      <c r="J1151" s="52">
        <v>751000000</v>
      </c>
      <c r="K1151" s="53" t="s">
        <v>2290</v>
      </c>
      <c r="L1151" s="53" t="s">
        <v>1468</v>
      </c>
      <c r="M1151" s="53" t="s">
        <v>2290</v>
      </c>
      <c r="N1151" s="52"/>
      <c r="O1151" s="53" t="s">
        <v>1975</v>
      </c>
      <c r="P1151" s="53" t="s">
        <v>1485</v>
      </c>
      <c r="Q1151" s="52"/>
      <c r="R1151" s="52"/>
      <c r="S1151" s="54"/>
      <c r="T1151" s="52"/>
      <c r="U1151" s="54">
        <f t="shared" si="78"/>
        <v>0</v>
      </c>
      <c r="V1151" s="68">
        <f>570000-570000</f>
        <v>0</v>
      </c>
      <c r="W1151" s="52"/>
      <c r="X1151" s="52">
        <v>2012</v>
      </c>
      <c r="Y1151" s="52"/>
    </row>
    <row r="1152" spans="1:255" s="55" customFormat="1" ht="76.5" outlineLevel="1">
      <c r="B1152" s="52" t="s">
        <v>624</v>
      </c>
      <c r="C1152" s="78" t="s">
        <v>246</v>
      </c>
      <c r="D1152" s="52" t="s">
        <v>310</v>
      </c>
      <c r="E1152" s="56" t="s">
        <v>1486</v>
      </c>
      <c r="F1152" s="53" t="s">
        <v>1487</v>
      </c>
      <c r="G1152" s="53"/>
      <c r="H1152" s="52" t="s">
        <v>243</v>
      </c>
      <c r="I1152" s="52">
        <v>100</v>
      </c>
      <c r="J1152" s="52">
        <v>751000000</v>
      </c>
      <c r="K1152" s="53" t="s">
        <v>2290</v>
      </c>
      <c r="L1152" s="53" t="s">
        <v>1468</v>
      </c>
      <c r="M1152" s="53" t="s">
        <v>2290</v>
      </c>
      <c r="N1152" s="52"/>
      <c r="O1152" s="53" t="s">
        <v>1975</v>
      </c>
      <c r="P1152" s="53" t="s">
        <v>1488</v>
      </c>
      <c r="Q1152" s="52"/>
      <c r="R1152" s="52"/>
      <c r="S1152" s="54"/>
      <c r="T1152" s="52"/>
      <c r="U1152" s="54">
        <f t="shared" si="71"/>
        <v>107142.85714285713</v>
      </c>
      <c r="V1152" s="68">
        <f>[1]связь!$B$11</f>
        <v>120000</v>
      </c>
      <c r="W1152" s="52"/>
      <c r="X1152" s="52">
        <v>2012</v>
      </c>
      <c r="Y1152" s="52"/>
    </row>
    <row r="1153" spans="2:25" s="55" customFormat="1" ht="76.5" outlineLevel="1">
      <c r="B1153" s="52" t="s">
        <v>625</v>
      </c>
      <c r="C1153" s="78" t="s">
        <v>246</v>
      </c>
      <c r="D1153" s="52" t="s">
        <v>310</v>
      </c>
      <c r="E1153" s="56" t="s">
        <v>181</v>
      </c>
      <c r="F1153" s="56" t="s">
        <v>181</v>
      </c>
      <c r="G1153" s="56"/>
      <c r="H1153" s="52" t="s">
        <v>243</v>
      </c>
      <c r="I1153" s="52">
        <v>100</v>
      </c>
      <c r="J1153" s="52">
        <v>751000000</v>
      </c>
      <c r="K1153" s="53" t="s">
        <v>2290</v>
      </c>
      <c r="L1153" s="53" t="s">
        <v>1468</v>
      </c>
      <c r="M1153" s="53" t="s">
        <v>2290</v>
      </c>
      <c r="N1153" s="52"/>
      <c r="O1153" s="53" t="s">
        <v>1975</v>
      </c>
      <c r="P1153" s="53" t="s">
        <v>1485</v>
      </c>
      <c r="Q1153" s="52"/>
      <c r="R1153" s="52"/>
      <c r="S1153" s="54"/>
      <c r="T1153" s="52"/>
      <c r="U1153" s="54">
        <f t="shared" si="71"/>
        <v>4821428.5714285718</v>
      </c>
      <c r="V1153" s="68">
        <f>[1]связь!$B$13</f>
        <v>5400000</v>
      </c>
      <c r="W1153" s="52"/>
      <c r="X1153" s="52">
        <v>2012</v>
      </c>
      <c r="Y1153" s="52"/>
    </row>
    <row r="1154" spans="2:25" s="55" customFormat="1" ht="89.25" outlineLevel="1">
      <c r="B1154" s="52" t="s">
        <v>626</v>
      </c>
      <c r="C1154" s="78" t="s">
        <v>246</v>
      </c>
      <c r="D1154" s="52" t="s">
        <v>1543</v>
      </c>
      <c r="E1154" s="56" t="s">
        <v>182</v>
      </c>
      <c r="F1154" s="56" t="s">
        <v>182</v>
      </c>
      <c r="G1154" s="56"/>
      <c r="H1154" s="52" t="s">
        <v>243</v>
      </c>
      <c r="I1154" s="52">
        <v>100</v>
      </c>
      <c r="J1154" s="52">
        <v>751000000</v>
      </c>
      <c r="K1154" s="53" t="s">
        <v>2290</v>
      </c>
      <c r="L1154" s="53" t="s">
        <v>343</v>
      </c>
      <c r="M1154" s="53" t="s">
        <v>2290</v>
      </c>
      <c r="N1154" s="52"/>
      <c r="O1154" s="53" t="s">
        <v>1975</v>
      </c>
      <c r="P1154" s="53" t="s">
        <v>1489</v>
      </c>
      <c r="Q1154" s="52"/>
      <c r="R1154" s="52"/>
      <c r="S1154" s="54"/>
      <c r="T1154" s="52"/>
      <c r="U1154" s="54">
        <f t="shared" si="71"/>
        <v>158400.00000000003</v>
      </c>
      <c r="V1154" s="68">
        <f>[1]связь!$B$12</f>
        <v>177408.00000000003</v>
      </c>
      <c r="W1154" s="52"/>
      <c r="X1154" s="52">
        <v>2012</v>
      </c>
      <c r="Y1154" s="52"/>
    </row>
    <row r="1155" spans="2:25" s="55" customFormat="1" ht="89.25" outlineLevel="1">
      <c r="B1155" s="52" t="s">
        <v>627</v>
      </c>
      <c r="C1155" s="78" t="s">
        <v>246</v>
      </c>
      <c r="D1155" s="52" t="s">
        <v>311</v>
      </c>
      <c r="E1155" s="56" t="s">
        <v>183</v>
      </c>
      <c r="F1155" s="56" t="s">
        <v>183</v>
      </c>
      <c r="G1155" s="56"/>
      <c r="H1155" s="52" t="s">
        <v>243</v>
      </c>
      <c r="I1155" s="52">
        <v>75</v>
      </c>
      <c r="J1155" s="52">
        <v>751000000</v>
      </c>
      <c r="K1155" s="53" t="s">
        <v>2290</v>
      </c>
      <c r="L1155" s="53" t="s">
        <v>1503</v>
      </c>
      <c r="M1155" s="53" t="s">
        <v>2290</v>
      </c>
      <c r="N1155" s="52"/>
      <c r="O1155" s="53" t="s">
        <v>2176</v>
      </c>
      <c r="P1155" s="53" t="s">
        <v>1490</v>
      </c>
      <c r="Q1155" s="52"/>
      <c r="R1155" s="52"/>
      <c r="S1155" s="54"/>
      <c r="T1155" s="52"/>
      <c r="U1155" s="54">
        <f>V1155/112*100</f>
        <v>133928.57142857142</v>
      </c>
      <c r="V1155" s="68">
        <f>[7]связь!$B$15</f>
        <v>150000</v>
      </c>
      <c r="W1155" s="52"/>
      <c r="X1155" s="52">
        <v>2012</v>
      </c>
      <c r="Y1155" s="52"/>
    </row>
    <row r="1156" spans="2:25" s="55" customFormat="1" ht="102" outlineLevel="1">
      <c r="B1156" s="52" t="s">
        <v>628</v>
      </c>
      <c r="C1156" s="78" t="s">
        <v>246</v>
      </c>
      <c r="D1156" s="52" t="s">
        <v>310</v>
      </c>
      <c r="E1156" s="56" t="s">
        <v>1849</v>
      </c>
      <c r="F1156" s="56" t="s">
        <v>1849</v>
      </c>
      <c r="G1156" s="56"/>
      <c r="H1156" s="52" t="s">
        <v>243</v>
      </c>
      <c r="I1156" s="52">
        <v>100</v>
      </c>
      <c r="J1156" s="52">
        <v>751000000</v>
      </c>
      <c r="K1156" s="53" t="s">
        <v>2290</v>
      </c>
      <c r="L1156" s="53" t="s">
        <v>1468</v>
      </c>
      <c r="M1156" s="53" t="s">
        <v>2290</v>
      </c>
      <c r="N1156" s="52"/>
      <c r="O1156" s="53" t="s">
        <v>1975</v>
      </c>
      <c r="P1156" s="53" t="s">
        <v>1491</v>
      </c>
      <c r="Q1156" s="52"/>
      <c r="R1156" s="52"/>
      <c r="S1156" s="54"/>
      <c r="T1156" s="52"/>
      <c r="U1156" s="54">
        <f t="shared" ref="U1156:U1222" si="79">V1156/112*100</f>
        <v>4630232.1428571427</v>
      </c>
      <c r="V1156" s="68">
        <f>[1]связь!$B$10</f>
        <v>5185860</v>
      </c>
      <c r="W1156" s="52"/>
      <c r="X1156" s="52">
        <v>2012</v>
      </c>
      <c r="Y1156" s="52"/>
    </row>
    <row r="1157" spans="2:25" s="55" customFormat="1" ht="99.75" customHeight="1" outlineLevel="1">
      <c r="B1157" s="52" t="s">
        <v>629</v>
      </c>
      <c r="C1157" s="78" t="s">
        <v>246</v>
      </c>
      <c r="D1157" s="52" t="s">
        <v>310</v>
      </c>
      <c r="E1157" s="56" t="s">
        <v>2066</v>
      </c>
      <c r="F1157" s="56" t="s">
        <v>2195</v>
      </c>
      <c r="G1157" s="56"/>
      <c r="H1157" s="52" t="s">
        <v>243</v>
      </c>
      <c r="I1157" s="52">
        <v>100</v>
      </c>
      <c r="J1157" s="52">
        <v>751000000</v>
      </c>
      <c r="K1157" s="53" t="s">
        <v>2290</v>
      </c>
      <c r="L1157" s="53" t="s">
        <v>1468</v>
      </c>
      <c r="M1157" s="53" t="s">
        <v>2290</v>
      </c>
      <c r="N1157" s="52"/>
      <c r="O1157" s="53" t="s">
        <v>1975</v>
      </c>
      <c r="P1157" s="53" t="s">
        <v>1485</v>
      </c>
      <c r="Q1157" s="52"/>
      <c r="R1157" s="52"/>
      <c r="S1157" s="54"/>
      <c r="T1157" s="52"/>
      <c r="U1157" s="54">
        <f t="shared" si="79"/>
        <v>4450458.8000000007</v>
      </c>
      <c r="V1157" s="68">
        <v>4984513.8560000006</v>
      </c>
      <c r="W1157" s="52"/>
      <c r="X1157" s="52">
        <v>2012</v>
      </c>
      <c r="Y1157" s="52"/>
    </row>
    <row r="1158" spans="2:25" s="55" customFormat="1" ht="102" outlineLevel="1">
      <c r="B1158" s="52" t="s">
        <v>630</v>
      </c>
      <c r="C1158" s="78" t="s">
        <v>246</v>
      </c>
      <c r="D1158" s="52" t="s">
        <v>310</v>
      </c>
      <c r="E1158" s="56" t="s">
        <v>1970</v>
      </c>
      <c r="F1158" s="53" t="s">
        <v>1602</v>
      </c>
      <c r="G1158" s="53"/>
      <c r="H1158" s="52" t="s">
        <v>243</v>
      </c>
      <c r="I1158" s="52">
        <v>90</v>
      </c>
      <c r="J1158" s="52">
        <v>110000000</v>
      </c>
      <c r="K1158" s="56" t="s">
        <v>125</v>
      </c>
      <c r="L1158" s="53" t="s">
        <v>1468</v>
      </c>
      <c r="M1158" s="56" t="s">
        <v>125</v>
      </c>
      <c r="N1158" s="52"/>
      <c r="O1158" s="53" t="s">
        <v>1975</v>
      </c>
      <c r="P1158" s="53" t="s">
        <v>1491</v>
      </c>
      <c r="Q1158" s="52"/>
      <c r="R1158" s="52"/>
      <c r="S1158" s="54"/>
      <c r="T1158" s="52"/>
      <c r="U1158" s="54">
        <f t="shared" si="79"/>
        <v>643885.77321428573</v>
      </c>
      <c r="V1158" s="54">
        <v>721152.06599999999</v>
      </c>
      <c r="W1158" s="52"/>
      <c r="X1158" s="52">
        <v>2012</v>
      </c>
      <c r="Y1158" s="52"/>
    </row>
    <row r="1159" spans="2:25" s="55" customFormat="1" ht="102" outlineLevel="1">
      <c r="B1159" s="52" t="s">
        <v>631</v>
      </c>
      <c r="C1159" s="78" t="s">
        <v>246</v>
      </c>
      <c r="D1159" s="52" t="s">
        <v>310</v>
      </c>
      <c r="E1159" s="56" t="s">
        <v>1970</v>
      </c>
      <c r="F1159" s="53" t="s">
        <v>1602</v>
      </c>
      <c r="G1159" s="53"/>
      <c r="H1159" s="52" t="s">
        <v>243</v>
      </c>
      <c r="I1159" s="52">
        <v>90</v>
      </c>
      <c r="J1159" s="52">
        <v>150000000</v>
      </c>
      <c r="K1159" s="56" t="s">
        <v>126</v>
      </c>
      <c r="L1159" s="53" t="s">
        <v>1468</v>
      </c>
      <c r="M1159" s="56" t="s">
        <v>126</v>
      </c>
      <c r="N1159" s="52"/>
      <c r="O1159" s="53" t="s">
        <v>1975</v>
      </c>
      <c r="P1159" s="53" t="s">
        <v>1491</v>
      </c>
      <c r="Q1159" s="52"/>
      <c r="R1159" s="52"/>
      <c r="S1159" s="54"/>
      <c r="T1159" s="52"/>
      <c r="U1159" s="54">
        <f t="shared" si="79"/>
        <v>569545.94196428568</v>
      </c>
      <c r="V1159" s="54">
        <v>637891.45499999996</v>
      </c>
      <c r="W1159" s="52"/>
      <c r="X1159" s="52">
        <v>2012</v>
      </c>
      <c r="Y1159" s="52"/>
    </row>
    <row r="1160" spans="2:25" s="55" customFormat="1" ht="102" outlineLevel="1">
      <c r="B1160" s="52" t="s">
        <v>632</v>
      </c>
      <c r="C1160" s="78" t="s">
        <v>246</v>
      </c>
      <c r="D1160" s="52" t="s">
        <v>310</v>
      </c>
      <c r="E1160" s="56" t="s">
        <v>1970</v>
      </c>
      <c r="F1160" s="53" t="s">
        <v>1602</v>
      </c>
      <c r="G1160" s="53"/>
      <c r="H1160" s="52" t="s">
        <v>243</v>
      </c>
      <c r="I1160" s="52">
        <v>90</v>
      </c>
      <c r="J1160" s="52">
        <v>190000000</v>
      </c>
      <c r="K1160" s="56" t="s">
        <v>117</v>
      </c>
      <c r="L1160" s="53" t="s">
        <v>1468</v>
      </c>
      <c r="M1160" s="56" t="s">
        <v>117</v>
      </c>
      <c r="N1160" s="52"/>
      <c r="O1160" s="53" t="s">
        <v>1975</v>
      </c>
      <c r="P1160" s="53" t="s">
        <v>1491</v>
      </c>
      <c r="Q1160" s="52"/>
      <c r="R1160" s="52"/>
      <c r="S1160" s="54"/>
      <c r="T1160" s="52"/>
      <c r="U1160" s="54">
        <f t="shared" si="79"/>
        <v>725625</v>
      </c>
      <c r="V1160" s="54">
        <v>812700</v>
      </c>
      <c r="W1160" s="52"/>
      <c r="X1160" s="52">
        <v>2012</v>
      </c>
      <c r="Y1160" s="52"/>
    </row>
    <row r="1161" spans="2:25" s="55" customFormat="1" ht="102" outlineLevel="1">
      <c r="B1161" s="52" t="s">
        <v>633</v>
      </c>
      <c r="C1161" s="78" t="s">
        <v>246</v>
      </c>
      <c r="D1161" s="52" t="s">
        <v>310</v>
      </c>
      <c r="E1161" s="56" t="s">
        <v>1970</v>
      </c>
      <c r="F1161" s="53" t="s">
        <v>1602</v>
      </c>
      <c r="G1161" s="53"/>
      <c r="H1161" s="52" t="s">
        <v>243</v>
      </c>
      <c r="I1161" s="52">
        <v>90</v>
      </c>
      <c r="J1161" s="52">
        <v>711000000</v>
      </c>
      <c r="K1161" s="56" t="s">
        <v>151</v>
      </c>
      <c r="L1161" s="53" t="s">
        <v>1468</v>
      </c>
      <c r="M1161" s="53" t="s">
        <v>1816</v>
      </c>
      <c r="N1161" s="52"/>
      <c r="O1161" s="53" t="s">
        <v>1975</v>
      </c>
      <c r="P1161" s="53" t="s">
        <v>1491</v>
      </c>
      <c r="Q1161" s="52"/>
      <c r="R1161" s="52"/>
      <c r="S1161" s="54"/>
      <c r="T1161" s="52"/>
      <c r="U1161" s="54">
        <f t="shared" si="79"/>
        <v>0</v>
      </c>
      <c r="V1161" s="54">
        <v>0</v>
      </c>
      <c r="W1161" s="52"/>
      <c r="X1161" s="52">
        <v>2012</v>
      </c>
      <c r="Y1161" s="52">
        <v>11</v>
      </c>
    </row>
    <row r="1162" spans="2:25" s="55" customFormat="1" ht="102" outlineLevel="1">
      <c r="B1162" s="52" t="s">
        <v>2680</v>
      </c>
      <c r="C1162" s="78" t="s">
        <v>246</v>
      </c>
      <c r="D1162" s="52" t="s">
        <v>310</v>
      </c>
      <c r="E1162" s="56" t="s">
        <v>1970</v>
      </c>
      <c r="F1162" s="53" t="s">
        <v>1602</v>
      </c>
      <c r="G1162" s="53"/>
      <c r="H1162" s="52" t="s">
        <v>243</v>
      </c>
      <c r="I1162" s="52">
        <v>90</v>
      </c>
      <c r="J1162" s="52">
        <v>711000000</v>
      </c>
      <c r="K1162" s="56" t="s">
        <v>151</v>
      </c>
      <c r="L1162" s="53" t="s">
        <v>1548</v>
      </c>
      <c r="M1162" s="53" t="s">
        <v>1816</v>
      </c>
      <c r="N1162" s="52"/>
      <c r="O1162" s="53" t="s">
        <v>1975</v>
      </c>
      <c r="P1162" s="53" t="s">
        <v>1491</v>
      </c>
      <c r="Q1162" s="52"/>
      <c r="R1162" s="52"/>
      <c r="S1162" s="54"/>
      <c r="T1162" s="52"/>
      <c r="U1162" s="54">
        <f t="shared" si="79"/>
        <v>1564125</v>
      </c>
      <c r="V1162" s="54">
        <v>1751820</v>
      </c>
      <c r="W1162" s="52"/>
      <c r="X1162" s="52">
        <v>2012</v>
      </c>
      <c r="Y1162" s="52"/>
    </row>
    <row r="1163" spans="2:25" s="55" customFormat="1" ht="102" outlineLevel="1">
      <c r="B1163" s="52" t="s">
        <v>634</v>
      </c>
      <c r="C1163" s="78" t="s">
        <v>246</v>
      </c>
      <c r="D1163" s="52" t="s">
        <v>310</v>
      </c>
      <c r="E1163" s="56" t="s">
        <v>1970</v>
      </c>
      <c r="F1163" s="53" t="s">
        <v>1602</v>
      </c>
      <c r="G1163" s="53"/>
      <c r="H1163" s="52" t="s">
        <v>243</v>
      </c>
      <c r="I1163" s="52">
        <v>90</v>
      </c>
      <c r="J1163" s="52">
        <v>230000000</v>
      </c>
      <c r="K1163" s="56" t="s">
        <v>118</v>
      </c>
      <c r="L1163" s="53" t="s">
        <v>1468</v>
      </c>
      <c r="M1163" s="56" t="s">
        <v>118</v>
      </c>
      <c r="N1163" s="52"/>
      <c r="O1163" s="53" t="s">
        <v>1975</v>
      </c>
      <c r="P1163" s="53" t="s">
        <v>1491</v>
      </c>
      <c r="Q1163" s="52"/>
      <c r="R1163" s="52"/>
      <c r="S1163" s="54"/>
      <c r="T1163" s="52"/>
      <c r="U1163" s="54">
        <f t="shared" si="79"/>
        <v>874205.35714285704</v>
      </c>
      <c r="V1163" s="54">
        <v>979110</v>
      </c>
      <c r="W1163" s="52"/>
      <c r="X1163" s="52">
        <v>2012</v>
      </c>
      <c r="Y1163" s="52"/>
    </row>
    <row r="1164" spans="2:25" s="55" customFormat="1" ht="102" outlineLevel="1">
      <c r="B1164" s="52" t="s">
        <v>635</v>
      </c>
      <c r="C1164" s="78" t="s">
        <v>246</v>
      </c>
      <c r="D1164" s="52" t="s">
        <v>310</v>
      </c>
      <c r="E1164" s="56" t="s">
        <v>1970</v>
      </c>
      <c r="F1164" s="53" t="s">
        <v>1602</v>
      </c>
      <c r="G1164" s="53"/>
      <c r="H1164" s="52" t="s">
        <v>243</v>
      </c>
      <c r="I1164" s="52">
        <v>90</v>
      </c>
      <c r="J1164" s="52">
        <v>630000000</v>
      </c>
      <c r="K1164" s="56" t="s">
        <v>97</v>
      </c>
      <c r="L1164" s="53" t="s">
        <v>1468</v>
      </c>
      <c r="M1164" s="56" t="s">
        <v>97</v>
      </c>
      <c r="N1164" s="52"/>
      <c r="O1164" s="53" t="s">
        <v>1975</v>
      </c>
      <c r="P1164" s="53" t="s">
        <v>1491</v>
      </c>
      <c r="Q1164" s="52"/>
      <c r="R1164" s="52"/>
      <c r="S1164" s="54"/>
      <c r="T1164" s="52"/>
      <c r="U1164" s="54">
        <f t="shared" si="79"/>
        <v>921428.57142857136</v>
      </c>
      <c r="V1164" s="54">
        <v>1032000</v>
      </c>
      <c r="W1164" s="52"/>
      <c r="X1164" s="52">
        <v>2012</v>
      </c>
      <c r="Y1164" s="52"/>
    </row>
    <row r="1165" spans="2:25" s="55" customFormat="1" ht="102" outlineLevel="1">
      <c r="B1165" s="52" t="s">
        <v>636</v>
      </c>
      <c r="C1165" s="78" t="s">
        <v>246</v>
      </c>
      <c r="D1165" s="52" t="s">
        <v>310</v>
      </c>
      <c r="E1165" s="56" t="s">
        <v>1970</v>
      </c>
      <c r="F1165" s="53" t="s">
        <v>1602</v>
      </c>
      <c r="G1165" s="53"/>
      <c r="H1165" s="52" t="s">
        <v>243</v>
      </c>
      <c r="I1165" s="52">
        <v>90</v>
      </c>
      <c r="J1165" s="52">
        <v>310000000</v>
      </c>
      <c r="K1165" s="56" t="s">
        <v>119</v>
      </c>
      <c r="L1165" s="53" t="s">
        <v>1468</v>
      </c>
      <c r="M1165" s="56" t="s">
        <v>119</v>
      </c>
      <c r="N1165" s="52"/>
      <c r="O1165" s="53" t="s">
        <v>1975</v>
      </c>
      <c r="P1165" s="53" t="s">
        <v>1491</v>
      </c>
      <c r="Q1165" s="52"/>
      <c r="R1165" s="52"/>
      <c r="S1165" s="54"/>
      <c r="T1165" s="52"/>
      <c r="U1165" s="54">
        <f t="shared" si="79"/>
        <v>624086.11607142852</v>
      </c>
      <c r="V1165" s="54">
        <v>698976.45</v>
      </c>
      <c r="W1165" s="52"/>
      <c r="X1165" s="52">
        <v>2012</v>
      </c>
      <c r="Y1165" s="52"/>
    </row>
    <row r="1166" spans="2:25" s="55" customFormat="1" ht="102" outlineLevel="1">
      <c r="B1166" s="52" t="s">
        <v>637</v>
      </c>
      <c r="C1166" s="78" t="s">
        <v>246</v>
      </c>
      <c r="D1166" s="52" t="s">
        <v>310</v>
      </c>
      <c r="E1166" s="56" t="s">
        <v>1970</v>
      </c>
      <c r="F1166" s="53" t="s">
        <v>1602</v>
      </c>
      <c r="G1166" s="53"/>
      <c r="H1166" s="52" t="s">
        <v>243</v>
      </c>
      <c r="I1166" s="52">
        <v>90</v>
      </c>
      <c r="J1166" s="52">
        <v>270000000</v>
      </c>
      <c r="K1166" s="56" t="s">
        <v>98</v>
      </c>
      <c r="L1166" s="53" t="s">
        <v>1468</v>
      </c>
      <c r="M1166" s="56" t="s">
        <v>98</v>
      </c>
      <c r="N1166" s="52"/>
      <c r="O1166" s="53" t="s">
        <v>1975</v>
      </c>
      <c r="P1166" s="53" t="s">
        <v>1491</v>
      </c>
      <c r="Q1166" s="52"/>
      <c r="R1166" s="52"/>
      <c r="S1166" s="54"/>
      <c r="T1166" s="52"/>
      <c r="U1166" s="54">
        <f t="shared" si="79"/>
        <v>654170.75892857148</v>
      </c>
      <c r="V1166" s="54">
        <v>732671.25</v>
      </c>
      <c r="W1166" s="52"/>
      <c r="X1166" s="52">
        <v>2012</v>
      </c>
      <c r="Y1166" s="52"/>
    </row>
    <row r="1167" spans="2:25" s="55" customFormat="1" ht="102" outlineLevel="1">
      <c r="B1167" s="52" t="s">
        <v>638</v>
      </c>
      <c r="C1167" s="78" t="s">
        <v>246</v>
      </c>
      <c r="D1167" s="52" t="s">
        <v>310</v>
      </c>
      <c r="E1167" s="56" t="s">
        <v>1970</v>
      </c>
      <c r="F1167" s="53" t="s">
        <v>1602</v>
      </c>
      <c r="G1167" s="53"/>
      <c r="H1167" s="52" t="s">
        <v>243</v>
      </c>
      <c r="I1167" s="52">
        <v>90</v>
      </c>
      <c r="J1167" s="52">
        <v>350000000</v>
      </c>
      <c r="K1167" s="56" t="s">
        <v>120</v>
      </c>
      <c r="L1167" s="53" t="s">
        <v>1468</v>
      </c>
      <c r="M1167" s="56" t="s">
        <v>120</v>
      </c>
      <c r="N1167" s="52"/>
      <c r="O1167" s="53" t="s">
        <v>1975</v>
      </c>
      <c r="P1167" s="53" t="s">
        <v>1491</v>
      </c>
      <c r="Q1167" s="52"/>
      <c r="R1167" s="52"/>
      <c r="S1167" s="54"/>
      <c r="T1167" s="52"/>
      <c r="U1167" s="54">
        <f t="shared" si="79"/>
        <v>912214.28571428568</v>
      </c>
      <c r="V1167" s="54">
        <v>1021680</v>
      </c>
      <c r="W1167" s="52"/>
      <c r="X1167" s="52">
        <v>2012</v>
      </c>
      <c r="Y1167" s="52"/>
    </row>
    <row r="1168" spans="2:25" s="55" customFormat="1" ht="102" outlineLevel="1">
      <c r="B1168" s="52" t="s">
        <v>639</v>
      </c>
      <c r="C1168" s="78" t="s">
        <v>246</v>
      </c>
      <c r="D1168" s="52" t="s">
        <v>310</v>
      </c>
      <c r="E1168" s="56" t="s">
        <v>1970</v>
      </c>
      <c r="F1168" s="53" t="s">
        <v>1602</v>
      </c>
      <c r="G1168" s="53"/>
      <c r="H1168" s="52" t="s">
        <v>243</v>
      </c>
      <c r="I1168" s="52">
        <v>90</v>
      </c>
      <c r="J1168" s="52">
        <v>390000000</v>
      </c>
      <c r="K1168" s="56" t="s">
        <v>121</v>
      </c>
      <c r="L1168" s="53" t="s">
        <v>1468</v>
      </c>
      <c r="M1168" s="56" t="s">
        <v>121</v>
      </c>
      <c r="N1168" s="52"/>
      <c r="O1168" s="53" t="s">
        <v>1975</v>
      </c>
      <c r="P1168" s="53" t="s">
        <v>1491</v>
      </c>
      <c r="Q1168" s="52"/>
      <c r="R1168" s="52"/>
      <c r="S1168" s="54"/>
      <c r="T1168" s="52"/>
      <c r="U1168" s="54">
        <f t="shared" si="79"/>
        <v>943312.5</v>
      </c>
      <c r="V1168" s="54">
        <v>1056510</v>
      </c>
      <c r="W1168" s="52"/>
      <c r="X1168" s="52">
        <v>2012</v>
      </c>
      <c r="Y1168" s="52"/>
    </row>
    <row r="1169" spans="2:25" s="55" customFormat="1" ht="102" outlineLevel="1">
      <c r="B1169" s="52" t="s">
        <v>640</v>
      </c>
      <c r="C1169" s="78" t="s">
        <v>246</v>
      </c>
      <c r="D1169" s="52" t="s">
        <v>310</v>
      </c>
      <c r="E1169" s="56" t="s">
        <v>1970</v>
      </c>
      <c r="F1169" s="53" t="s">
        <v>1602</v>
      </c>
      <c r="G1169" s="53"/>
      <c r="H1169" s="52" t="s">
        <v>243</v>
      </c>
      <c r="I1169" s="52">
        <v>90</v>
      </c>
      <c r="J1169" s="52">
        <v>430000000</v>
      </c>
      <c r="K1169" s="56" t="s">
        <v>122</v>
      </c>
      <c r="L1169" s="53" t="s">
        <v>1468</v>
      </c>
      <c r="M1169" s="56" t="s">
        <v>122</v>
      </c>
      <c r="N1169" s="52"/>
      <c r="O1169" s="53" t="s">
        <v>1975</v>
      </c>
      <c r="P1169" s="53" t="s">
        <v>1491</v>
      </c>
      <c r="Q1169" s="52"/>
      <c r="R1169" s="52"/>
      <c r="S1169" s="54"/>
      <c r="T1169" s="52"/>
      <c r="U1169" s="54">
        <f t="shared" si="79"/>
        <v>633482.14285714284</v>
      </c>
      <c r="V1169" s="54">
        <v>709500</v>
      </c>
      <c r="W1169" s="52"/>
      <c r="X1169" s="52">
        <v>2012</v>
      </c>
      <c r="Y1169" s="52"/>
    </row>
    <row r="1170" spans="2:25" s="55" customFormat="1" ht="102" outlineLevel="1">
      <c r="B1170" s="52" t="s">
        <v>641</v>
      </c>
      <c r="C1170" s="78" t="s">
        <v>246</v>
      </c>
      <c r="D1170" s="52" t="s">
        <v>310</v>
      </c>
      <c r="E1170" s="56" t="s">
        <v>1970</v>
      </c>
      <c r="F1170" s="53" t="s">
        <v>1602</v>
      </c>
      <c r="G1170" s="53"/>
      <c r="H1170" s="52" t="s">
        <v>243</v>
      </c>
      <c r="I1170" s="52">
        <v>90</v>
      </c>
      <c r="J1170" s="52">
        <v>470000000</v>
      </c>
      <c r="K1170" s="56" t="s">
        <v>123</v>
      </c>
      <c r="L1170" s="53" t="s">
        <v>1468</v>
      </c>
      <c r="M1170" s="56" t="s">
        <v>123</v>
      </c>
      <c r="N1170" s="52"/>
      <c r="O1170" s="53" t="s">
        <v>1975</v>
      </c>
      <c r="P1170" s="53" t="s">
        <v>1491</v>
      </c>
      <c r="Q1170" s="52"/>
      <c r="R1170" s="52"/>
      <c r="S1170" s="54"/>
      <c r="T1170" s="52"/>
      <c r="U1170" s="54">
        <f t="shared" si="79"/>
        <v>817767.85714285716</v>
      </c>
      <c r="V1170" s="54">
        <v>915900</v>
      </c>
      <c r="W1170" s="52"/>
      <c r="X1170" s="52">
        <v>2012</v>
      </c>
      <c r="Y1170" s="52"/>
    </row>
    <row r="1171" spans="2:25" s="55" customFormat="1" ht="102" outlineLevel="1">
      <c r="B1171" s="52" t="s">
        <v>642</v>
      </c>
      <c r="C1171" s="78" t="s">
        <v>246</v>
      </c>
      <c r="D1171" s="52" t="s">
        <v>310</v>
      </c>
      <c r="E1171" s="56" t="s">
        <v>1970</v>
      </c>
      <c r="F1171" s="53" t="s">
        <v>1602</v>
      </c>
      <c r="G1171" s="53"/>
      <c r="H1171" s="52" t="s">
        <v>243</v>
      </c>
      <c r="I1171" s="52">
        <v>90</v>
      </c>
      <c r="J1171" s="52">
        <v>550000000</v>
      </c>
      <c r="K1171" s="56" t="s">
        <v>124</v>
      </c>
      <c r="L1171" s="53" t="s">
        <v>1468</v>
      </c>
      <c r="M1171" s="56" t="s">
        <v>124</v>
      </c>
      <c r="N1171" s="52"/>
      <c r="O1171" s="53" t="s">
        <v>1975</v>
      </c>
      <c r="P1171" s="53" t="s">
        <v>1491</v>
      </c>
      <c r="Q1171" s="52"/>
      <c r="R1171" s="52"/>
      <c r="S1171" s="54"/>
      <c r="T1171" s="52"/>
      <c r="U1171" s="54">
        <f t="shared" si="79"/>
        <v>601875</v>
      </c>
      <c r="V1171" s="54">
        <v>674100</v>
      </c>
      <c r="W1171" s="52"/>
      <c r="X1171" s="52">
        <v>2012</v>
      </c>
      <c r="Y1171" s="52"/>
    </row>
    <row r="1172" spans="2:25" s="55" customFormat="1" ht="102" outlineLevel="1">
      <c r="B1172" s="52" t="s">
        <v>643</v>
      </c>
      <c r="C1172" s="78" t="s">
        <v>246</v>
      </c>
      <c r="D1172" s="52" t="s">
        <v>310</v>
      </c>
      <c r="E1172" s="56" t="s">
        <v>1970</v>
      </c>
      <c r="F1172" s="53" t="s">
        <v>1602</v>
      </c>
      <c r="G1172" s="53"/>
      <c r="H1172" s="52" t="s">
        <v>243</v>
      </c>
      <c r="I1172" s="52">
        <v>90</v>
      </c>
      <c r="J1172" s="52">
        <v>590000000</v>
      </c>
      <c r="K1172" s="56" t="s">
        <v>103</v>
      </c>
      <c r="L1172" s="53" t="s">
        <v>1468</v>
      </c>
      <c r="M1172" s="56" t="s">
        <v>103</v>
      </c>
      <c r="N1172" s="52"/>
      <c r="O1172" s="53" t="s">
        <v>1975</v>
      </c>
      <c r="P1172" s="53" t="s">
        <v>1491</v>
      </c>
      <c r="Q1172" s="52"/>
      <c r="R1172" s="52"/>
      <c r="S1172" s="54"/>
      <c r="T1172" s="52"/>
      <c r="U1172" s="54">
        <f t="shared" si="79"/>
        <v>668035.71428571432</v>
      </c>
      <c r="V1172" s="54">
        <v>748200</v>
      </c>
      <c r="W1172" s="52"/>
      <c r="X1172" s="52">
        <v>2012</v>
      </c>
      <c r="Y1172" s="52"/>
    </row>
    <row r="1173" spans="2:25" s="55" customFormat="1" ht="102" outlineLevel="1">
      <c r="B1173" s="52" t="s">
        <v>644</v>
      </c>
      <c r="C1173" s="78" t="s">
        <v>246</v>
      </c>
      <c r="D1173" s="52" t="s">
        <v>310</v>
      </c>
      <c r="E1173" s="56" t="s">
        <v>224</v>
      </c>
      <c r="F1173" s="53" t="s">
        <v>1602</v>
      </c>
      <c r="G1173" s="53"/>
      <c r="H1173" s="52" t="s">
        <v>243</v>
      </c>
      <c r="I1173" s="52">
        <v>90</v>
      </c>
      <c r="J1173" s="52">
        <v>510000000</v>
      </c>
      <c r="K1173" s="63" t="s">
        <v>104</v>
      </c>
      <c r="L1173" s="53" t="s">
        <v>1468</v>
      </c>
      <c r="M1173" s="63" t="s">
        <v>104</v>
      </c>
      <c r="N1173" s="52"/>
      <c r="O1173" s="53" t="s">
        <v>1975</v>
      </c>
      <c r="P1173" s="53" t="s">
        <v>1491</v>
      </c>
      <c r="Q1173" s="52"/>
      <c r="R1173" s="52"/>
      <c r="S1173" s="54"/>
      <c r="T1173" s="52"/>
      <c r="U1173" s="54">
        <f t="shared" si="79"/>
        <v>747781.2214285715</v>
      </c>
      <c r="V1173" s="54">
        <v>837514.96799999999</v>
      </c>
      <c r="W1173" s="52"/>
      <c r="X1173" s="52">
        <v>2012</v>
      </c>
      <c r="Y1173" s="52"/>
    </row>
    <row r="1174" spans="2:25" s="55" customFormat="1" ht="102" outlineLevel="1">
      <c r="B1174" s="52" t="s">
        <v>645</v>
      </c>
      <c r="C1174" s="78" t="s">
        <v>246</v>
      </c>
      <c r="D1174" s="52" t="s">
        <v>1543</v>
      </c>
      <c r="E1174" s="56" t="s">
        <v>1971</v>
      </c>
      <c r="F1174" s="53" t="s">
        <v>1544</v>
      </c>
      <c r="G1174" s="53"/>
      <c r="H1174" s="52" t="s">
        <v>243</v>
      </c>
      <c r="I1174" s="52">
        <v>90</v>
      </c>
      <c r="J1174" s="52">
        <v>430000000</v>
      </c>
      <c r="K1174" s="56" t="s">
        <v>122</v>
      </c>
      <c r="L1174" s="53" t="s">
        <v>1468</v>
      </c>
      <c r="M1174" s="56" t="s">
        <v>122</v>
      </c>
      <c r="N1174" s="52"/>
      <c r="O1174" s="53" t="s">
        <v>1975</v>
      </c>
      <c r="P1174" s="53" t="s">
        <v>1491</v>
      </c>
      <c r="Q1174" s="52"/>
      <c r="R1174" s="52"/>
      <c r="S1174" s="54"/>
      <c r="T1174" s="52"/>
      <c r="U1174" s="54">
        <f t="shared" si="79"/>
        <v>138214.28571428571</v>
      </c>
      <c r="V1174" s="54">
        <v>154800</v>
      </c>
      <c r="W1174" s="52"/>
      <c r="X1174" s="52">
        <v>2012</v>
      </c>
      <c r="Y1174" s="52"/>
    </row>
    <row r="1175" spans="2:25" s="55" customFormat="1" ht="76.5" outlineLevel="1">
      <c r="B1175" s="52" t="s">
        <v>646</v>
      </c>
      <c r="C1175" s="78" t="s">
        <v>246</v>
      </c>
      <c r="D1175" s="128" t="s">
        <v>2333</v>
      </c>
      <c r="E1175" s="56" t="s">
        <v>184</v>
      </c>
      <c r="F1175" s="53" t="s">
        <v>1492</v>
      </c>
      <c r="G1175" s="53"/>
      <c r="H1175" s="52" t="s">
        <v>243</v>
      </c>
      <c r="I1175" s="52">
        <v>100</v>
      </c>
      <c r="J1175" s="52">
        <v>751000000</v>
      </c>
      <c r="K1175" s="53" t="s">
        <v>2290</v>
      </c>
      <c r="L1175" s="53" t="s">
        <v>1468</v>
      </c>
      <c r="M1175" s="53" t="s">
        <v>2290</v>
      </c>
      <c r="N1175" s="52"/>
      <c r="O1175" s="53" t="s">
        <v>2176</v>
      </c>
      <c r="P1175" s="53" t="s">
        <v>1494</v>
      </c>
      <c r="Q1175" s="52"/>
      <c r="R1175" s="52"/>
      <c r="S1175" s="54"/>
      <c r="T1175" s="52"/>
      <c r="U1175" s="54">
        <f t="shared" ref="U1175:U1176" si="80">V1175/112*100</f>
        <v>1576250</v>
      </c>
      <c r="V1175" s="54">
        <f>[1]почта!$B$9</f>
        <v>1765400</v>
      </c>
      <c r="W1175" s="52"/>
      <c r="X1175" s="52">
        <v>2012</v>
      </c>
      <c r="Y1175" s="52"/>
    </row>
    <row r="1176" spans="2:25" s="55" customFormat="1" ht="76.5" outlineLevel="1">
      <c r="B1176" s="52" t="s">
        <v>647</v>
      </c>
      <c r="C1176" s="78" t="s">
        <v>246</v>
      </c>
      <c r="D1176" s="128" t="s">
        <v>2334</v>
      </c>
      <c r="E1176" s="56" t="s">
        <v>185</v>
      </c>
      <c r="F1176" s="53" t="s">
        <v>1493</v>
      </c>
      <c r="G1176" s="53"/>
      <c r="H1176" s="52" t="s">
        <v>243</v>
      </c>
      <c r="I1176" s="52">
        <v>100</v>
      </c>
      <c r="J1176" s="52">
        <v>751000000</v>
      </c>
      <c r="K1176" s="53" t="s">
        <v>2290</v>
      </c>
      <c r="L1176" s="53" t="s">
        <v>1468</v>
      </c>
      <c r="M1176" s="53" t="s">
        <v>2290</v>
      </c>
      <c r="N1176" s="52"/>
      <c r="O1176" s="53" t="s">
        <v>2176</v>
      </c>
      <c r="P1176" s="53" t="s">
        <v>1494</v>
      </c>
      <c r="Q1176" s="52"/>
      <c r="R1176" s="52"/>
      <c r="S1176" s="54"/>
      <c r="T1176" s="52"/>
      <c r="U1176" s="54">
        <f t="shared" si="80"/>
        <v>1706892.8571428573</v>
      </c>
      <c r="V1176" s="54">
        <f>[1]почта!$B$10</f>
        <v>1911720</v>
      </c>
      <c r="W1176" s="52"/>
      <c r="X1176" s="52">
        <v>2012</v>
      </c>
      <c r="Y1176" s="52"/>
    </row>
    <row r="1177" spans="2:25" s="55" customFormat="1" ht="76.5" outlineLevel="1">
      <c r="B1177" s="52" t="s">
        <v>648</v>
      </c>
      <c r="C1177" s="78" t="s">
        <v>246</v>
      </c>
      <c r="D1177" s="128" t="s">
        <v>2333</v>
      </c>
      <c r="E1177" s="56" t="s">
        <v>184</v>
      </c>
      <c r="F1177" s="53" t="s">
        <v>1492</v>
      </c>
      <c r="G1177" s="53"/>
      <c r="H1177" s="52" t="s">
        <v>243</v>
      </c>
      <c r="I1177" s="52">
        <v>100</v>
      </c>
      <c r="J1177" s="52">
        <v>110000000</v>
      </c>
      <c r="K1177" s="56" t="s">
        <v>125</v>
      </c>
      <c r="L1177" s="53" t="s">
        <v>1468</v>
      </c>
      <c r="M1177" s="56" t="s">
        <v>125</v>
      </c>
      <c r="N1177" s="52"/>
      <c r="O1177" s="53" t="s">
        <v>1975</v>
      </c>
      <c r="P1177" s="53" t="s">
        <v>1494</v>
      </c>
      <c r="Q1177" s="52"/>
      <c r="R1177" s="52"/>
      <c r="S1177" s="54"/>
      <c r="T1177" s="52"/>
      <c r="U1177" s="54">
        <f t="shared" si="79"/>
        <v>107142.85714285713</v>
      </c>
      <c r="V1177" s="54">
        <f>10000*12</f>
        <v>120000</v>
      </c>
      <c r="W1177" s="52"/>
      <c r="X1177" s="52">
        <v>2012</v>
      </c>
      <c r="Y1177" s="52"/>
    </row>
    <row r="1178" spans="2:25" s="55" customFormat="1" ht="76.5" outlineLevel="1">
      <c r="B1178" s="52" t="s">
        <v>649</v>
      </c>
      <c r="C1178" s="78" t="s">
        <v>246</v>
      </c>
      <c r="D1178" s="128" t="s">
        <v>2333</v>
      </c>
      <c r="E1178" s="56" t="s">
        <v>184</v>
      </c>
      <c r="F1178" s="53" t="s">
        <v>1492</v>
      </c>
      <c r="G1178" s="53"/>
      <c r="H1178" s="52" t="s">
        <v>243</v>
      </c>
      <c r="I1178" s="52">
        <v>100</v>
      </c>
      <c r="J1178" s="52">
        <v>150000000</v>
      </c>
      <c r="K1178" s="56" t="s">
        <v>126</v>
      </c>
      <c r="L1178" s="53" t="s">
        <v>1468</v>
      </c>
      <c r="M1178" s="56" t="s">
        <v>126</v>
      </c>
      <c r="N1178" s="52"/>
      <c r="O1178" s="53" t="s">
        <v>1975</v>
      </c>
      <c r="P1178" s="53" t="s">
        <v>1494</v>
      </c>
      <c r="Q1178" s="52"/>
      <c r="R1178" s="52"/>
      <c r="S1178" s="54"/>
      <c r="T1178" s="52"/>
      <c r="U1178" s="54">
        <f t="shared" si="79"/>
        <v>107142.85714285713</v>
      </c>
      <c r="V1178" s="54">
        <v>120000</v>
      </c>
      <c r="W1178" s="52"/>
      <c r="X1178" s="52">
        <v>2012</v>
      </c>
      <c r="Y1178" s="52"/>
    </row>
    <row r="1179" spans="2:25" s="55" customFormat="1" ht="76.5" outlineLevel="1">
      <c r="B1179" s="52" t="s">
        <v>650</v>
      </c>
      <c r="C1179" s="78" t="s">
        <v>246</v>
      </c>
      <c r="D1179" s="128" t="s">
        <v>2333</v>
      </c>
      <c r="E1179" s="56" t="s">
        <v>184</v>
      </c>
      <c r="F1179" s="53" t="s">
        <v>1492</v>
      </c>
      <c r="G1179" s="53"/>
      <c r="H1179" s="52" t="s">
        <v>243</v>
      </c>
      <c r="I1179" s="52">
        <v>100</v>
      </c>
      <c r="J1179" s="52">
        <v>190000000</v>
      </c>
      <c r="K1179" s="56" t="s">
        <v>117</v>
      </c>
      <c r="L1179" s="53" t="s">
        <v>1468</v>
      </c>
      <c r="M1179" s="56" t="s">
        <v>117</v>
      </c>
      <c r="N1179" s="52"/>
      <c r="O1179" s="53" t="s">
        <v>1975</v>
      </c>
      <c r="P1179" s="53" t="s">
        <v>1494</v>
      </c>
      <c r="Q1179" s="52"/>
      <c r="R1179" s="52"/>
      <c r="S1179" s="54"/>
      <c r="T1179" s="52"/>
      <c r="U1179" s="54">
        <f t="shared" si="79"/>
        <v>107142.85714285713</v>
      </c>
      <c r="V1179" s="54">
        <v>120000</v>
      </c>
      <c r="W1179" s="52"/>
      <c r="X1179" s="52">
        <v>2012</v>
      </c>
      <c r="Y1179" s="52"/>
    </row>
    <row r="1180" spans="2:25" s="55" customFormat="1" ht="76.5" outlineLevel="1">
      <c r="B1180" s="52" t="s">
        <v>651</v>
      </c>
      <c r="C1180" s="78" t="s">
        <v>246</v>
      </c>
      <c r="D1180" s="128" t="s">
        <v>2333</v>
      </c>
      <c r="E1180" s="56" t="s">
        <v>184</v>
      </c>
      <c r="F1180" s="53" t="s">
        <v>1492</v>
      </c>
      <c r="G1180" s="53"/>
      <c r="H1180" s="52" t="s">
        <v>243</v>
      </c>
      <c r="I1180" s="52">
        <v>100</v>
      </c>
      <c r="J1180" s="52">
        <v>751000000</v>
      </c>
      <c r="K1180" s="56" t="s">
        <v>151</v>
      </c>
      <c r="L1180" s="53" t="s">
        <v>1468</v>
      </c>
      <c r="M1180" s="53" t="s">
        <v>1816</v>
      </c>
      <c r="N1180" s="52"/>
      <c r="O1180" s="53" t="s">
        <v>1975</v>
      </c>
      <c r="P1180" s="53" t="s">
        <v>1494</v>
      </c>
      <c r="Q1180" s="52"/>
      <c r="R1180" s="52"/>
      <c r="S1180" s="54"/>
      <c r="T1180" s="52"/>
      <c r="U1180" s="54">
        <f t="shared" si="79"/>
        <v>160714.28571428571</v>
      </c>
      <c r="V1180" s="54">
        <f>15000*12</f>
        <v>180000</v>
      </c>
      <c r="W1180" s="52"/>
      <c r="X1180" s="52">
        <v>2012</v>
      </c>
      <c r="Y1180" s="52"/>
    </row>
    <row r="1181" spans="2:25" s="55" customFormat="1" ht="76.5" outlineLevel="1">
      <c r="B1181" s="52" t="s">
        <v>652</v>
      </c>
      <c r="C1181" s="78" t="s">
        <v>246</v>
      </c>
      <c r="D1181" s="128" t="s">
        <v>2333</v>
      </c>
      <c r="E1181" s="56" t="s">
        <v>184</v>
      </c>
      <c r="F1181" s="53" t="s">
        <v>1492</v>
      </c>
      <c r="G1181" s="53"/>
      <c r="H1181" s="52" t="s">
        <v>243</v>
      </c>
      <c r="I1181" s="52">
        <v>100</v>
      </c>
      <c r="J1181" s="52">
        <v>751000000</v>
      </c>
      <c r="K1181" s="63" t="s">
        <v>1437</v>
      </c>
      <c r="L1181" s="53" t="s">
        <v>1468</v>
      </c>
      <c r="M1181" s="63" t="s">
        <v>1437</v>
      </c>
      <c r="N1181" s="52"/>
      <c r="O1181" s="53" t="s">
        <v>1975</v>
      </c>
      <c r="P1181" s="53" t="s">
        <v>1494</v>
      </c>
      <c r="Q1181" s="52"/>
      <c r="R1181" s="52"/>
      <c r="S1181" s="54"/>
      <c r="T1181" s="52"/>
      <c r="U1181" s="54">
        <f t="shared" si="79"/>
        <v>160714.28571428571</v>
      </c>
      <c r="V1181" s="54">
        <f>15000*12</f>
        <v>180000</v>
      </c>
      <c r="W1181" s="52"/>
      <c r="X1181" s="52">
        <v>2012</v>
      </c>
      <c r="Y1181" s="52"/>
    </row>
    <row r="1182" spans="2:25" s="55" customFormat="1" ht="76.5" outlineLevel="1">
      <c r="B1182" s="52" t="s">
        <v>653</v>
      </c>
      <c r="C1182" s="78" t="s">
        <v>246</v>
      </c>
      <c r="D1182" s="128" t="s">
        <v>2333</v>
      </c>
      <c r="E1182" s="56" t="s">
        <v>184</v>
      </c>
      <c r="F1182" s="53" t="s">
        <v>1492</v>
      </c>
      <c r="G1182" s="53"/>
      <c r="H1182" s="52" t="s">
        <v>243</v>
      </c>
      <c r="I1182" s="52">
        <v>100</v>
      </c>
      <c r="J1182" s="52">
        <v>230000000</v>
      </c>
      <c r="K1182" s="56" t="s">
        <v>118</v>
      </c>
      <c r="L1182" s="53" t="s">
        <v>1468</v>
      </c>
      <c r="M1182" s="56" t="s">
        <v>118</v>
      </c>
      <c r="N1182" s="52"/>
      <c r="O1182" s="53" t="s">
        <v>1975</v>
      </c>
      <c r="P1182" s="53" t="s">
        <v>1494</v>
      </c>
      <c r="Q1182" s="52"/>
      <c r="R1182" s="52"/>
      <c r="S1182" s="54"/>
      <c r="T1182" s="52"/>
      <c r="U1182" s="54">
        <f t="shared" si="79"/>
        <v>107142.85714285713</v>
      </c>
      <c r="V1182" s="54">
        <v>120000</v>
      </c>
      <c r="W1182" s="52"/>
      <c r="X1182" s="52">
        <v>2012</v>
      </c>
      <c r="Y1182" s="52"/>
    </row>
    <row r="1183" spans="2:25" s="55" customFormat="1" ht="76.5" outlineLevel="1">
      <c r="B1183" s="52" t="s">
        <v>654</v>
      </c>
      <c r="C1183" s="78" t="s">
        <v>246</v>
      </c>
      <c r="D1183" s="128" t="s">
        <v>2333</v>
      </c>
      <c r="E1183" s="56" t="s">
        <v>184</v>
      </c>
      <c r="F1183" s="53" t="s">
        <v>1492</v>
      </c>
      <c r="G1183" s="53"/>
      <c r="H1183" s="52" t="s">
        <v>243</v>
      </c>
      <c r="I1183" s="52">
        <v>100</v>
      </c>
      <c r="J1183" s="52">
        <v>630000000</v>
      </c>
      <c r="K1183" s="56" t="s">
        <v>97</v>
      </c>
      <c r="L1183" s="53" t="s">
        <v>1468</v>
      </c>
      <c r="M1183" s="56" t="s">
        <v>97</v>
      </c>
      <c r="N1183" s="52"/>
      <c r="O1183" s="53" t="s">
        <v>1975</v>
      </c>
      <c r="P1183" s="53" t="s">
        <v>1494</v>
      </c>
      <c r="Q1183" s="52"/>
      <c r="R1183" s="52"/>
      <c r="S1183" s="54"/>
      <c r="T1183" s="52"/>
      <c r="U1183" s="54">
        <f t="shared" si="79"/>
        <v>107142.85714285713</v>
      </c>
      <c r="V1183" s="54">
        <v>120000</v>
      </c>
      <c r="W1183" s="52"/>
      <c r="X1183" s="52">
        <v>2012</v>
      </c>
      <c r="Y1183" s="52"/>
    </row>
    <row r="1184" spans="2:25" s="55" customFormat="1" ht="76.5" outlineLevel="1">
      <c r="B1184" s="52" t="s">
        <v>655</v>
      </c>
      <c r="C1184" s="78" t="s">
        <v>246</v>
      </c>
      <c r="D1184" s="128" t="s">
        <v>2333</v>
      </c>
      <c r="E1184" s="56" t="s">
        <v>184</v>
      </c>
      <c r="F1184" s="53" t="s">
        <v>1492</v>
      </c>
      <c r="G1184" s="53"/>
      <c r="H1184" s="52" t="s">
        <v>243</v>
      </c>
      <c r="I1184" s="52">
        <v>100</v>
      </c>
      <c r="J1184" s="52">
        <v>310000000</v>
      </c>
      <c r="K1184" s="56" t="s">
        <v>119</v>
      </c>
      <c r="L1184" s="53" t="s">
        <v>1468</v>
      </c>
      <c r="M1184" s="56" t="s">
        <v>119</v>
      </c>
      <c r="N1184" s="52"/>
      <c r="O1184" s="53" t="s">
        <v>1975</v>
      </c>
      <c r="P1184" s="53" t="s">
        <v>1494</v>
      </c>
      <c r="Q1184" s="52"/>
      <c r="R1184" s="52"/>
      <c r="S1184" s="54"/>
      <c r="T1184" s="52"/>
      <c r="U1184" s="54">
        <f t="shared" si="79"/>
        <v>107142.85714285713</v>
      </c>
      <c r="V1184" s="54">
        <v>120000</v>
      </c>
      <c r="W1184" s="52"/>
      <c r="X1184" s="52">
        <v>2012</v>
      </c>
      <c r="Y1184" s="52"/>
    </row>
    <row r="1185" spans="2:25" s="55" customFormat="1" ht="76.5" outlineLevel="1">
      <c r="B1185" s="52" t="s">
        <v>656</v>
      </c>
      <c r="C1185" s="78" t="s">
        <v>246</v>
      </c>
      <c r="D1185" s="128" t="s">
        <v>2333</v>
      </c>
      <c r="E1185" s="56" t="s">
        <v>184</v>
      </c>
      <c r="F1185" s="53" t="s">
        <v>1492</v>
      </c>
      <c r="G1185" s="53"/>
      <c r="H1185" s="52" t="s">
        <v>243</v>
      </c>
      <c r="I1185" s="52">
        <v>100</v>
      </c>
      <c r="J1185" s="52">
        <v>270000000</v>
      </c>
      <c r="K1185" s="56" t="s">
        <v>98</v>
      </c>
      <c r="L1185" s="53" t="s">
        <v>1468</v>
      </c>
      <c r="M1185" s="56" t="s">
        <v>98</v>
      </c>
      <c r="N1185" s="52"/>
      <c r="O1185" s="53" t="s">
        <v>1975</v>
      </c>
      <c r="P1185" s="53" t="s">
        <v>1494</v>
      </c>
      <c r="Q1185" s="52"/>
      <c r="R1185" s="52"/>
      <c r="S1185" s="54"/>
      <c r="T1185" s="52"/>
      <c r="U1185" s="54">
        <f t="shared" si="79"/>
        <v>107142.85714285713</v>
      </c>
      <c r="V1185" s="54">
        <v>120000</v>
      </c>
      <c r="W1185" s="52"/>
      <c r="X1185" s="52">
        <v>2012</v>
      </c>
      <c r="Y1185" s="52"/>
    </row>
    <row r="1186" spans="2:25" s="55" customFormat="1" ht="76.5" outlineLevel="1">
      <c r="B1186" s="52" t="s">
        <v>657</v>
      </c>
      <c r="C1186" s="78" t="s">
        <v>246</v>
      </c>
      <c r="D1186" s="128" t="s">
        <v>2333</v>
      </c>
      <c r="E1186" s="56" t="s">
        <v>184</v>
      </c>
      <c r="F1186" s="53" t="s">
        <v>1492</v>
      </c>
      <c r="G1186" s="53"/>
      <c r="H1186" s="52" t="s">
        <v>243</v>
      </c>
      <c r="I1186" s="52">
        <v>100</v>
      </c>
      <c r="J1186" s="52">
        <v>350000000</v>
      </c>
      <c r="K1186" s="56" t="s">
        <v>120</v>
      </c>
      <c r="L1186" s="53" t="s">
        <v>1468</v>
      </c>
      <c r="M1186" s="56" t="s">
        <v>120</v>
      </c>
      <c r="N1186" s="52"/>
      <c r="O1186" s="53" t="s">
        <v>1975</v>
      </c>
      <c r="P1186" s="53" t="s">
        <v>1494</v>
      </c>
      <c r="Q1186" s="52"/>
      <c r="R1186" s="52"/>
      <c r="S1186" s="54"/>
      <c r="T1186" s="52"/>
      <c r="U1186" s="54">
        <f t="shared" si="79"/>
        <v>0</v>
      </c>
      <c r="V1186" s="54">
        <v>0</v>
      </c>
      <c r="W1186" s="52"/>
      <c r="X1186" s="52">
        <v>2012</v>
      </c>
      <c r="Y1186" s="52">
        <v>21</v>
      </c>
    </row>
    <row r="1187" spans="2:25" s="55" customFormat="1" ht="76.5" outlineLevel="1">
      <c r="B1187" s="52" t="s">
        <v>2856</v>
      </c>
      <c r="C1187" s="78" t="s">
        <v>246</v>
      </c>
      <c r="D1187" s="128" t="s">
        <v>2333</v>
      </c>
      <c r="E1187" s="56" t="s">
        <v>184</v>
      </c>
      <c r="F1187" s="53" t="s">
        <v>1492</v>
      </c>
      <c r="G1187" s="53"/>
      <c r="H1187" s="52" t="s">
        <v>243</v>
      </c>
      <c r="I1187" s="52">
        <v>100</v>
      </c>
      <c r="J1187" s="52">
        <v>350000000</v>
      </c>
      <c r="K1187" s="56" t="s">
        <v>120</v>
      </c>
      <c r="L1187" s="53" t="s">
        <v>1468</v>
      </c>
      <c r="M1187" s="56" t="s">
        <v>120</v>
      </c>
      <c r="N1187" s="52"/>
      <c r="O1187" s="53" t="s">
        <v>1975</v>
      </c>
      <c r="P1187" s="53" t="s">
        <v>1494</v>
      </c>
      <c r="Q1187" s="52"/>
      <c r="R1187" s="52"/>
      <c r="S1187" s="54"/>
      <c r="T1187" s="52"/>
      <c r="U1187" s="54">
        <f t="shared" si="79"/>
        <v>250000</v>
      </c>
      <c r="V1187" s="54">
        <f>120000+160000</f>
        <v>280000</v>
      </c>
      <c r="W1187" s="52"/>
      <c r="X1187" s="52">
        <v>2012</v>
      </c>
      <c r="Y1187" s="52"/>
    </row>
    <row r="1188" spans="2:25" s="55" customFormat="1" ht="76.5" outlineLevel="1">
      <c r="B1188" s="52" t="s">
        <v>658</v>
      </c>
      <c r="C1188" s="78" t="s">
        <v>246</v>
      </c>
      <c r="D1188" s="128" t="s">
        <v>2333</v>
      </c>
      <c r="E1188" s="56" t="s">
        <v>184</v>
      </c>
      <c r="F1188" s="53" t="s">
        <v>1492</v>
      </c>
      <c r="G1188" s="53"/>
      <c r="H1188" s="52" t="s">
        <v>243</v>
      </c>
      <c r="I1188" s="52">
        <v>100</v>
      </c>
      <c r="J1188" s="52">
        <v>390000000</v>
      </c>
      <c r="K1188" s="56" t="s">
        <v>121</v>
      </c>
      <c r="L1188" s="53" t="s">
        <v>1468</v>
      </c>
      <c r="M1188" s="56" t="s">
        <v>121</v>
      </c>
      <c r="N1188" s="52"/>
      <c r="O1188" s="53" t="s">
        <v>1975</v>
      </c>
      <c r="P1188" s="53" t="s">
        <v>1494</v>
      </c>
      <c r="Q1188" s="52"/>
      <c r="R1188" s="52"/>
      <c r="S1188" s="54"/>
      <c r="T1188" s="52"/>
      <c r="U1188" s="54">
        <f t="shared" si="79"/>
        <v>107142.85714285713</v>
      </c>
      <c r="V1188" s="54">
        <v>120000</v>
      </c>
      <c r="W1188" s="52"/>
      <c r="X1188" s="52">
        <v>2012</v>
      </c>
      <c r="Y1188" s="52"/>
    </row>
    <row r="1189" spans="2:25" s="55" customFormat="1" ht="76.5" outlineLevel="1">
      <c r="B1189" s="52" t="s">
        <v>659</v>
      </c>
      <c r="C1189" s="78" t="s">
        <v>246</v>
      </c>
      <c r="D1189" s="128" t="s">
        <v>2333</v>
      </c>
      <c r="E1189" s="56" t="s">
        <v>184</v>
      </c>
      <c r="F1189" s="53" t="s">
        <v>1492</v>
      </c>
      <c r="G1189" s="53"/>
      <c r="H1189" s="52" t="s">
        <v>243</v>
      </c>
      <c r="I1189" s="52">
        <v>100</v>
      </c>
      <c r="J1189" s="52">
        <v>430000000</v>
      </c>
      <c r="K1189" s="56" t="s">
        <v>122</v>
      </c>
      <c r="L1189" s="53" t="s">
        <v>1468</v>
      </c>
      <c r="M1189" s="56" t="s">
        <v>122</v>
      </c>
      <c r="N1189" s="52"/>
      <c r="O1189" s="53" t="s">
        <v>1975</v>
      </c>
      <c r="P1189" s="53" t="s">
        <v>1494</v>
      </c>
      <c r="Q1189" s="52"/>
      <c r="R1189" s="52"/>
      <c r="S1189" s="54"/>
      <c r="T1189" s="52"/>
      <c r="U1189" s="54">
        <f t="shared" si="79"/>
        <v>107142.85714285713</v>
      </c>
      <c r="V1189" s="54">
        <v>120000</v>
      </c>
      <c r="W1189" s="52"/>
      <c r="X1189" s="52">
        <v>2012</v>
      </c>
      <c r="Y1189" s="52"/>
    </row>
    <row r="1190" spans="2:25" s="55" customFormat="1" ht="76.5" outlineLevel="1">
      <c r="B1190" s="52" t="s">
        <v>660</v>
      </c>
      <c r="C1190" s="78" t="s">
        <v>246</v>
      </c>
      <c r="D1190" s="128" t="s">
        <v>2333</v>
      </c>
      <c r="E1190" s="56" t="s">
        <v>184</v>
      </c>
      <c r="F1190" s="53" t="s">
        <v>1492</v>
      </c>
      <c r="G1190" s="53"/>
      <c r="H1190" s="52" t="s">
        <v>243</v>
      </c>
      <c r="I1190" s="52">
        <v>100</v>
      </c>
      <c r="J1190" s="52">
        <v>470000000</v>
      </c>
      <c r="K1190" s="56" t="s">
        <v>123</v>
      </c>
      <c r="L1190" s="53" t="s">
        <v>1468</v>
      </c>
      <c r="M1190" s="56" t="s">
        <v>123</v>
      </c>
      <c r="N1190" s="52"/>
      <c r="O1190" s="53" t="s">
        <v>1975</v>
      </c>
      <c r="P1190" s="53" t="s">
        <v>1494</v>
      </c>
      <c r="Q1190" s="52"/>
      <c r="R1190" s="52"/>
      <c r="S1190" s="54"/>
      <c r="T1190" s="52"/>
      <c r="U1190" s="54">
        <f t="shared" si="79"/>
        <v>107142.85714285713</v>
      </c>
      <c r="V1190" s="54">
        <v>120000</v>
      </c>
      <c r="W1190" s="52"/>
      <c r="X1190" s="52">
        <v>2012</v>
      </c>
      <c r="Y1190" s="52"/>
    </row>
    <row r="1191" spans="2:25" s="55" customFormat="1" ht="76.5" outlineLevel="1">
      <c r="B1191" s="52" t="s">
        <v>661</v>
      </c>
      <c r="C1191" s="78" t="s">
        <v>246</v>
      </c>
      <c r="D1191" s="128" t="s">
        <v>2333</v>
      </c>
      <c r="E1191" s="56" t="s">
        <v>184</v>
      </c>
      <c r="F1191" s="53" t="s">
        <v>1492</v>
      </c>
      <c r="G1191" s="53"/>
      <c r="H1191" s="52" t="s">
        <v>243</v>
      </c>
      <c r="I1191" s="52">
        <v>100</v>
      </c>
      <c r="J1191" s="52">
        <v>550000000</v>
      </c>
      <c r="K1191" s="56" t="s">
        <v>124</v>
      </c>
      <c r="L1191" s="53" t="s">
        <v>1468</v>
      </c>
      <c r="M1191" s="56" t="s">
        <v>124</v>
      </c>
      <c r="N1191" s="52"/>
      <c r="O1191" s="53" t="s">
        <v>1975</v>
      </c>
      <c r="P1191" s="53" t="s">
        <v>1494</v>
      </c>
      <c r="Q1191" s="52"/>
      <c r="R1191" s="52"/>
      <c r="S1191" s="54"/>
      <c r="T1191" s="52"/>
      <c r="U1191" s="54">
        <f t="shared" si="79"/>
        <v>107142.85714285713</v>
      </c>
      <c r="V1191" s="54">
        <v>120000</v>
      </c>
      <c r="W1191" s="52"/>
      <c r="X1191" s="52">
        <v>2012</v>
      </c>
      <c r="Y1191" s="52"/>
    </row>
    <row r="1192" spans="2:25" s="55" customFormat="1" ht="76.5" outlineLevel="1">
      <c r="B1192" s="52" t="s">
        <v>662</v>
      </c>
      <c r="C1192" s="78" t="s">
        <v>246</v>
      </c>
      <c r="D1192" s="128" t="s">
        <v>2333</v>
      </c>
      <c r="E1192" s="56" t="s">
        <v>184</v>
      </c>
      <c r="F1192" s="53" t="s">
        <v>1492</v>
      </c>
      <c r="G1192" s="53"/>
      <c r="H1192" s="52" t="s">
        <v>243</v>
      </c>
      <c r="I1192" s="52">
        <v>100</v>
      </c>
      <c r="J1192" s="52">
        <v>590000000</v>
      </c>
      <c r="K1192" s="56" t="s">
        <v>103</v>
      </c>
      <c r="L1192" s="53" t="s">
        <v>1468</v>
      </c>
      <c r="M1192" s="56" t="s">
        <v>103</v>
      </c>
      <c r="N1192" s="52"/>
      <c r="O1192" s="53" t="s">
        <v>1975</v>
      </c>
      <c r="P1192" s="53" t="s">
        <v>1494</v>
      </c>
      <c r="Q1192" s="52"/>
      <c r="R1192" s="52"/>
      <c r="S1192" s="54"/>
      <c r="T1192" s="52"/>
      <c r="U1192" s="54">
        <f t="shared" si="79"/>
        <v>107142.85714285713</v>
      </c>
      <c r="V1192" s="54">
        <v>120000</v>
      </c>
      <c r="W1192" s="52"/>
      <c r="X1192" s="52">
        <v>2012</v>
      </c>
      <c r="Y1192" s="52"/>
    </row>
    <row r="1193" spans="2:25" s="55" customFormat="1" ht="76.5" outlineLevel="1">
      <c r="B1193" s="52" t="s">
        <v>663</v>
      </c>
      <c r="C1193" s="78" t="s">
        <v>246</v>
      </c>
      <c r="D1193" s="128" t="s">
        <v>2333</v>
      </c>
      <c r="E1193" s="56" t="s">
        <v>184</v>
      </c>
      <c r="F1193" s="53" t="s">
        <v>1492</v>
      </c>
      <c r="G1193" s="53"/>
      <c r="H1193" s="52" t="s">
        <v>243</v>
      </c>
      <c r="I1193" s="52">
        <v>100</v>
      </c>
      <c r="J1193" s="52">
        <v>510000000</v>
      </c>
      <c r="K1193" s="63" t="s">
        <v>104</v>
      </c>
      <c r="L1193" s="53" t="s">
        <v>1468</v>
      </c>
      <c r="M1193" s="63" t="s">
        <v>104</v>
      </c>
      <c r="N1193" s="52"/>
      <c r="O1193" s="53" t="s">
        <v>1975</v>
      </c>
      <c r="P1193" s="53" t="s">
        <v>1494</v>
      </c>
      <c r="Q1193" s="52"/>
      <c r="R1193" s="52"/>
      <c r="S1193" s="54"/>
      <c r="T1193" s="52"/>
      <c r="U1193" s="54">
        <f t="shared" si="79"/>
        <v>107142.85714285713</v>
      </c>
      <c r="V1193" s="54">
        <v>120000</v>
      </c>
      <c r="W1193" s="52"/>
      <c r="X1193" s="52">
        <v>2012</v>
      </c>
      <c r="Y1193" s="52"/>
    </row>
    <row r="1194" spans="2:25" s="55" customFormat="1" ht="76.5" outlineLevel="1">
      <c r="B1194" s="52" t="s">
        <v>664</v>
      </c>
      <c r="C1194" s="78" t="s">
        <v>246</v>
      </c>
      <c r="D1194" s="128" t="s">
        <v>2334</v>
      </c>
      <c r="E1194" s="56" t="s">
        <v>185</v>
      </c>
      <c r="F1194" s="53" t="s">
        <v>1493</v>
      </c>
      <c r="G1194" s="53"/>
      <c r="H1194" s="52" t="s">
        <v>243</v>
      </c>
      <c r="I1194" s="52">
        <v>100</v>
      </c>
      <c r="J1194" s="52">
        <v>110000000</v>
      </c>
      <c r="K1194" s="56" t="s">
        <v>125</v>
      </c>
      <c r="L1194" s="53" t="s">
        <v>1468</v>
      </c>
      <c r="M1194" s="56" t="s">
        <v>125</v>
      </c>
      <c r="N1194" s="52"/>
      <c r="O1194" s="53" t="s">
        <v>1975</v>
      </c>
      <c r="P1194" s="53" t="s">
        <v>1494</v>
      </c>
      <c r="Q1194" s="52"/>
      <c r="R1194" s="52"/>
      <c r="S1194" s="54"/>
      <c r="T1194" s="52"/>
      <c r="U1194" s="54">
        <f t="shared" si="79"/>
        <v>160714.28571428571</v>
      </c>
      <c r="V1194" s="54">
        <f>15000*12</f>
        <v>180000</v>
      </c>
      <c r="W1194" s="52"/>
      <c r="X1194" s="52">
        <v>2012</v>
      </c>
      <c r="Y1194" s="52"/>
    </row>
    <row r="1195" spans="2:25" s="55" customFormat="1" ht="76.5" outlineLevel="1">
      <c r="B1195" s="52" t="s">
        <v>665</v>
      </c>
      <c r="C1195" s="78" t="s">
        <v>246</v>
      </c>
      <c r="D1195" s="128" t="s">
        <v>2334</v>
      </c>
      <c r="E1195" s="56" t="s">
        <v>185</v>
      </c>
      <c r="F1195" s="53" t="s">
        <v>1493</v>
      </c>
      <c r="G1195" s="53"/>
      <c r="H1195" s="52" t="s">
        <v>243</v>
      </c>
      <c r="I1195" s="52">
        <v>100</v>
      </c>
      <c r="J1195" s="52">
        <v>150000000</v>
      </c>
      <c r="K1195" s="56" t="s">
        <v>126</v>
      </c>
      <c r="L1195" s="53" t="s">
        <v>1468</v>
      </c>
      <c r="M1195" s="56" t="s">
        <v>126</v>
      </c>
      <c r="N1195" s="52"/>
      <c r="O1195" s="53" t="s">
        <v>1975</v>
      </c>
      <c r="P1195" s="53" t="s">
        <v>1494</v>
      </c>
      <c r="Q1195" s="52"/>
      <c r="R1195" s="52"/>
      <c r="S1195" s="54"/>
      <c r="T1195" s="52"/>
      <c r="U1195" s="54">
        <f t="shared" si="79"/>
        <v>160714.28571428571</v>
      </c>
      <c r="V1195" s="54">
        <f t="shared" ref="V1195:V1209" si="81">15000*12</f>
        <v>180000</v>
      </c>
      <c r="W1195" s="52"/>
      <c r="X1195" s="52">
        <v>2012</v>
      </c>
      <c r="Y1195" s="52"/>
    </row>
    <row r="1196" spans="2:25" s="55" customFormat="1" ht="76.5" outlineLevel="1">
      <c r="B1196" s="52" t="s">
        <v>666</v>
      </c>
      <c r="C1196" s="78" t="s">
        <v>246</v>
      </c>
      <c r="D1196" s="128" t="s">
        <v>2334</v>
      </c>
      <c r="E1196" s="56" t="s">
        <v>185</v>
      </c>
      <c r="F1196" s="53" t="s">
        <v>1493</v>
      </c>
      <c r="G1196" s="53"/>
      <c r="H1196" s="52" t="s">
        <v>243</v>
      </c>
      <c r="I1196" s="52">
        <v>100</v>
      </c>
      <c r="J1196" s="52">
        <v>190000000</v>
      </c>
      <c r="K1196" s="56" t="s">
        <v>117</v>
      </c>
      <c r="L1196" s="53" t="s">
        <v>1468</v>
      </c>
      <c r="M1196" s="56" t="s">
        <v>117</v>
      </c>
      <c r="N1196" s="52"/>
      <c r="O1196" s="53" t="s">
        <v>1975</v>
      </c>
      <c r="P1196" s="53" t="s">
        <v>1494</v>
      </c>
      <c r="Q1196" s="52"/>
      <c r="R1196" s="52"/>
      <c r="S1196" s="54"/>
      <c r="T1196" s="52"/>
      <c r="U1196" s="54">
        <f t="shared" si="79"/>
        <v>160714.28571428571</v>
      </c>
      <c r="V1196" s="54">
        <f t="shared" si="81"/>
        <v>180000</v>
      </c>
      <c r="W1196" s="52"/>
      <c r="X1196" s="52">
        <v>2012</v>
      </c>
      <c r="Y1196" s="52"/>
    </row>
    <row r="1197" spans="2:25" s="55" customFormat="1" ht="76.5" outlineLevel="1">
      <c r="B1197" s="52" t="s">
        <v>667</v>
      </c>
      <c r="C1197" s="78" t="s">
        <v>246</v>
      </c>
      <c r="D1197" s="128" t="s">
        <v>2334</v>
      </c>
      <c r="E1197" s="56" t="s">
        <v>185</v>
      </c>
      <c r="F1197" s="53" t="s">
        <v>1493</v>
      </c>
      <c r="G1197" s="53"/>
      <c r="H1197" s="52" t="s">
        <v>243</v>
      </c>
      <c r="I1197" s="52">
        <v>100</v>
      </c>
      <c r="J1197" s="52">
        <v>711000000</v>
      </c>
      <c r="K1197" s="56" t="s">
        <v>151</v>
      </c>
      <c r="L1197" s="53" t="s">
        <v>1468</v>
      </c>
      <c r="M1197" s="53" t="s">
        <v>1816</v>
      </c>
      <c r="N1197" s="52"/>
      <c r="O1197" s="53" t="s">
        <v>1975</v>
      </c>
      <c r="P1197" s="53" t="s">
        <v>1494</v>
      </c>
      <c r="Q1197" s="52"/>
      <c r="R1197" s="52"/>
      <c r="S1197" s="54"/>
      <c r="T1197" s="52"/>
      <c r="U1197" s="54">
        <f t="shared" si="79"/>
        <v>267857.14285714284</v>
      </c>
      <c r="V1197" s="54">
        <f>25000*12</f>
        <v>300000</v>
      </c>
      <c r="W1197" s="52"/>
      <c r="X1197" s="52">
        <v>2012</v>
      </c>
      <c r="Y1197" s="52"/>
    </row>
    <row r="1198" spans="2:25" s="55" customFormat="1" ht="76.5" outlineLevel="1">
      <c r="B1198" s="52" t="s">
        <v>668</v>
      </c>
      <c r="C1198" s="78" t="s">
        <v>246</v>
      </c>
      <c r="D1198" s="128" t="s">
        <v>2334</v>
      </c>
      <c r="E1198" s="56" t="s">
        <v>185</v>
      </c>
      <c r="F1198" s="53" t="s">
        <v>1493</v>
      </c>
      <c r="G1198" s="53"/>
      <c r="H1198" s="52" t="s">
        <v>243</v>
      </c>
      <c r="I1198" s="52">
        <v>100</v>
      </c>
      <c r="J1198" s="52">
        <v>751000000</v>
      </c>
      <c r="K1198" s="63" t="s">
        <v>1437</v>
      </c>
      <c r="L1198" s="53" t="s">
        <v>1468</v>
      </c>
      <c r="M1198" s="63" t="s">
        <v>1437</v>
      </c>
      <c r="N1198" s="52"/>
      <c r="O1198" s="53" t="s">
        <v>1975</v>
      </c>
      <c r="P1198" s="53" t="s">
        <v>1494</v>
      </c>
      <c r="Q1198" s="52"/>
      <c r="R1198" s="52"/>
      <c r="S1198" s="54"/>
      <c r="T1198" s="52"/>
      <c r="U1198" s="54">
        <f t="shared" si="79"/>
        <v>267857.14285714284</v>
      </c>
      <c r="V1198" s="54">
        <f>25000*12</f>
        <v>300000</v>
      </c>
      <c r="W1198" s="52"/>
      <c r="X1198" s="52">
        <v>2012</v>
      </c>
      <c r="Y1198" s="52"/>
    </row>
    <row r="1199" spans="2:25" s="55" customFormat="1" ht="76.5" outlineLevel="1">
      <c r="B1199" s="52" t="s">
        <v>669</v>
      </c>
      <c r="C1199" s="78" t="s">
        <v>246</v>
      </c>
      <c r="D1199" s="128" t="s">
        <v>2334</v>
      </c>
      <c r="E1199" s="56" t="s">
        <v>185</v>
      </c>
      <c r="F1199" s="53" t="s">
        <v>1493</v>
      </c>
      <c r="G1199" s="53"/>
      <c r="H1199" s="52" t="s">
        <v>243</v>
      </c>
      <c r="I1199" s="52">
        <v>100</v>
      </c>
      <c r="J1199" s="52">
        <v>230000000</v>
      </c>
      <c r="K1199" s="56" t="s">
        <v>118</v>
      </c>
      <c r="L1199" s="53" t="s">
        <v>1468</v>
      </c>
      <c r="M1199" s="56" t="s">
        <v>118</v>
      </c>
      <c r="N1199" s="52"/>
      <c r="O1199" s="53" t="s">
        <v>1975</v>
      </c>
      <c r="P1199" s="53" t="s">
        <v>1494</v>
      </c>
      <c r="Q1199" s="52"/>
      <c r="R1199" s="52"/>
      <c r="S1199" s="54"/>
      <c r="T1199" s="52"/>
      <c r="U1199" s="54">
        <f t="shared" si="79"/>
        <v>160714.28571428571</v>
      </c>
      <c r="V1199" s="54">
        <f t="shared" si="81"/>
        <v>180000</v>
      </c>
      <c r="W1199" s="52"/>
      <c r="X1199" s="52">
        <v>2012</v>
      </c>
      <c r="Y1199" s="52"/>
    </row>
    <row r="1200" spans="2:25" s="55" customFormat="1" ht="76.5" outlineLevel="1">
      <c r="B1200" s="52" t="s">
        <v>670</v>
      </c>
      <c r="C1200" s="78" t="s">
        <v>246</v>
      </c>
      <c r="D1200" s="128" t="s">
        <v>2334</v>
      </c>
      <c r="E1200" s="56" t="s">
        <v>185</v>
      </c>
      <c r="F1200" s="53" t="s">
        <v>1493</v>
      </c>
      <c r="G1200" s="53"/>
      <c r="H1200" s="52" t="s">
        <v>243</v>
      </c>
      <c r="I1200" s="52">
        <v>100</v>
      </c>
      <c r="J1200" s="52">
        <v>630000000</v>
      </c>
      <c r="K1200" s="56" t="s">
        <v>97</v>
      </c>
      <c r="L1200" s="53" t="s">
        <v>1468</v>
      </c>
      <c r="M1200" s="56" t="s">
        <v>97</v>
      </c>
      <c r="N1200" s="52"/>
      <c r="O1200" s="53" t="s">
        <v>1975</v>
      </c>
      <c r="P1200" s="53" t="s">
        <v>1494</v>
      </c>
      <c r="Q1200" s="52"/>
      <c r="R1200" s="52"/>
      <c r="S1200" s="54"/>
      <c r="T1200" s="52"/>
      <c r="U1200" s="54">
        <f t="shared" si="79"/>
        <v>160714.28571428571</v>
      </c>
      <c r="V1200" s="54">
        <f t="shared" si="81"/>
        <v>180000</v>
      </c>
      <c r="W1200" s="52"/>
      <c r="X1200" s="52">
        <v>2012</v>
      </c>
      <c r="Y1200" s="52"/>
    </row>
    <row r="1201" spans="2:25" s="55" customFormat="1" ht="76.5" outlineLevel="1">
      <c r="B1201" s="52" t="s">
        <v>671</v>
      </c>
      <c r="C1201" s="78" t="s">
        <v>246</v>
      </c>
      <c r="D1201" s="128" t="s">
        <v>2334</v>
      </c>
      <c r="E1201" s="56" t="s">
        <v>185</v>
      </c>
      <c r="F1201" s="53" t="s">
        <v>1493</v>
      </c>
      <c r="G1201" s="53"/>
      <c r="H1201" s="52" t="s">
        <v>243</v>
      </c>
      <c r="I1201" s="52">
        <v>100</v>
      </c>
      <c r="J1201" s="52">
        <v>310000000</v>
      </c>
      <c r="K1201" s="56" t="s">
        <v>119</v>
      </c>
      <c r="L1201" s="53" t="s">
        <v>1468</v>
      </c>
      <c r="M1201" s="56" t="s">
        <v>119</v>
      </c>
      <c r="N1201" s="52"/>
      <c r="O1201" s="53" t="s">
        <v>1975</v>
      </c>
      <c r="P1201" s="53" t="s">
        <v>1494</v>
      </c>
      <c r="Q1201" s="52"/>
      <c r="R1201" s="52"/>
      <c r="S1201" s="54"/>
      <c r="T1201" s="52"/>
      <c r="U1201" s="54">
        <f t="shared" si="79"/>
        <v>160714.28571428571</v>
      </c>
      <c r="V1201" s="54">
        <v>180000</v>
      </c>
      <c r="W1201" s="52"/>
      <c r="X1201" s="52">
        <v>2012</v>
      </c>
      <c r="Y1201" s="52"/>
    </row>
    <row r="1202" spans="2:25" s="55" customFormat="1" ht="76.5" outlineLevel="1">
      <c r="B1202" s="52" t="s">
        <v>672</v>
      </c>
      <c r="C1202" s="78" t="s">
        <v>246</v>
      </c>
      <c r="D1202" s="128" t="s">
        <v>2334</v>
      </c>
      <c r="E1202" s="56" t="s">
        <v>185</v>
      </c>
      <c r="F1202" s="53" t="s">
        <v>1493</v>
      </c>
      <c r="G1202" s="53"/>
      <c r="H1202" s="52" t="s">
        <v>243</v>
      </c>
      <c r="I1202" s="52">
        <v>100</v>
      </c>
      <c r="J1202" s="52">
        <v>270000000</v>
      </c>
      <c r="K1202" s="56" t="s">
        <v>98</v>
      </c>
      <c r="L1202" s="53" t="s">
        <v>1468</v>
      </c>
      <c r="M1202" s="56" t="s">
        <v>98</v>
      </c>
      <c r="N1202" s="52"/>
      <c r="O1202" s="53" t="s">
        <v>1975</v>
      </c>
      <c r="P1202" s="53" t="s">
        <v>1494</v>
      </c>
      <c r="Q1202" s="52"/>
      <c r="R1202" s="52"/>
      <c r="S1202" s="54"/>
      <c r="T1202" s="52"/>
      <c r="U1202" s="54">
        <f t="shared" si="79"/>
        <v>160714.28571428571</v>
      </c>
      <c r="V1202" s="54">
        <f>15000*12</f>
        <v>180000</v>
      </c>
      <c r="W1202" s="52"/>
      <c r="X1202" s="52">
        <v>2012</v>
      </c>
      <c r="Y1202" s="52"/>
    </row>
    <row r="1203" spans="2:25" s="55" customFormat="1" ht="76.5" outlineLevel="1">
      <c r="B1203" s="52" t="s">
        <v>673</v>
      </c>
      <c r="C1203" s="78" t="s">
        <v>246</v>
      </c>
      <c r="D1203" s="128" t="s">
        <v>2334</v>
      </c>
      <c r="E1203" s="56" t="s">
        <v>185</v>
      </c>
      <c r="F1203" s="53" t="s">
        <v>1493</v>
      </c>
      <c r="G1203" s="53"/>
      <c r="H1203" s="52" t="s">
        <v>243</v>
      </c>
      <c r="I1203" s="52">
        <v>100</v>
      </c>
      <c r="J1203" s="52">
        <v>350000000</v>
      </c>
      <c r="K1203" s="56" t="s">
        <v>120</v>
      </c>
      <c r="L1203" s="53" t="s">
        <v>1468</v>
      </c>
      <c r="M1203" s="56" t="s">
        <v>120</v>
      </c>
      <c r="N1203" s="52"/>
      <c r="O1203" s="53" t="s">
        <v>1975</v>
      </c>
      <c r="P1203" s="53" t="s">
        <v>1494</v>
      </c>
      <c r="Q1203" s="52"/>
      <c r="R1203" s="52"/>
      <c r="S1203" s="54"/>
      <c r="T1203" s="52"/>
      <c r="U1203" s="54">
        <f t="shared" si="79"/>
        <v>160714.28571428571</v>
      </c>
      <c r="V1203" s="54">
        <f t="shared" si="81"/>
        <v>180000</v>
      </c>
      <c r="W1203" s="52"/>
      <c r="X1203" s="52">
        <v>2012</v>
      </c>
      <c r="Y1203" s="52"/>
    </row>
    <row r="1204" spans="2:25" s="55" customFormat="1" ht="76.5" outlineLevel="1">
      <c r="B1204" s="52" t="s">
        <v>674</v>
      </c>
      <c r="C1204" s="78" t="s">
        <v>246</v>
      </c>
      <c r="D1204" s="128" t="s">
        <v>2334</v>
      </c>
      <c r="E1204" s="56" t="s">
        <v>185</v>
      </c>
      <c r="F1204" s="53" t="s">
        <v>1493</v>
      </c>
      <c r="G1204" s="53"/>
      <c r="H1204" s="52" t="s">
        <v>243</v>
      </c>
      <c r="I1204" s="52">
        <v>100</v>
      </c>
      <c r="J1204" s="52">
        <v>390000000</v>
      </c>
      <c r="K1204" s="56" t="s">
        <v>121</v>
      </c>
      <c r="L1204" s="53" t="s">
        <v>1468</v>
      </c>
      <c r="M1204" s="56" t="s">
        <v>121</v>
      </c>
      <c r="N1204" s="52"/>
      <c r="O1204" s="53" t="s">
        <v>1975</v>
      </c>
      <c r="P1204" s="53" t="s">
        <v>1494</v>
      </c>
      <c r="Q1204" s="52"/>
      <c r="R1204" s="52"/>
      <c r="S1204" s="54"/>
      <c r="T1204" s="52"/>
      <c r="U1204" s="54">
        <f t="shared" si="79"/>
        <v>160714.28571428571</v>
      </c>
      <c r="V1204" s="54">
        <f t="shared" si="81"/>
        <v>180000</v>
      </c>
      <c r="W1204" s="52"/>
      <c r="X1204" s="52">
        <v>2012</v>
      </c>
      <c r="Y1204" s="52"/>
    </row>
    <row r="1205" spans="2:25" s="55" customFormat="1" ht="76.5" outlineLevel="1">
      <c r="B1205" s="52" t="s">
        <v>675</v>
      </c>
      <c r="C1205" s="78" t="s">
        <v>246</v>
      </c>
      <c r="D1205" s="128" t="s">
        <v>2334</v>
      </c>
      <c r="E1205" s="56" t="s">
        <v>185</v>
      </c>
      <c r="F1205" s="53" t="s">
        <v>1493</v>
      </c>
      <c r="G1205" s="53"/>
      <c r="H1205" s="52" t="s">
        <v>243</v>
      </c>
      <c r="I1205" s="52">
        <v>100</v>
      </c>
      <c r="J1205" s="52">
        <v>430000000</v>
      </c>
      <c r="K1205" s="56" t="s">
        <v>122</v>
      </c>
      <c r="L1205" s="53" t="s">
        <v>1468</v>
      </c>
      <c r="M1205" s="56" t="s">
        <v>122</v>
      </c>
      <c r="N1205" s="52"/>
      <c r="O1205" s="53" t="s">
        <v>1975</v>
      </c>
      <c r="P1205" s="53" t="s">
        <v>1494</v>
      </c>
      <c r="Q1205" s="52"/>
      <c r="R1205" s="52"/>
      <c r="S1205" s="54"/>
      <c r="T1205" s="52"/>
      <c r="U1205" s="54">
        <f t="shared" si="79"/>
        <v>160714.28571428571</v>
      </c>
      <c r="V1205" s="54">
        <f t="shared" si="81"/>
        <v>180000</v>
      </c>
      <c r="W1205" s="52"/>
      <c r="X1205" s="52">
        <v>2012</v>
      </c>
      <c r="Y1205" s="52"/>
    </row>
    <row r="1206" spans="2:25" s="55" customFormat="1" ht="76.5" outlineLevel="1">
      <c r="B1206" s="52" t="s">
        <v>676</v>
      </c>
      <c r="C1206" s="78" t="s">
        <v>246</v>
      </c>
      <c r="D1206" s="128" t="s">
        <v>2334</v>
      </c>
      <c r="E1206" s="56" t="s">
        <v>185</v>
      </c>
      <c r="F1206" s="53" t="s">
        <v>1493</v>
      </c>
      <c r="G1206" s="53"/>
      <c r="H1206" s="52" t="s">
        <v>243</v>
      </c>
      <c r="I1206" s="52">
        <v>100</v>
      </c>
      <c r="J1206" s="52">
        <v>470000000</v>
      </c>
      <c r="K1206" s="56" t="s">
        <v>123</v>
      </c>
      <c r="L1206" s="53" t="s">
        <v>1468</v>
      </c>
      <c r="M1206" s="56" t="s">
        <v>123</v>
      </c>
      <c r="N1206" s="52"/>
      <c r="O1206" s="53" t="s">
        <v>1975</v>
      </c>
      <c r="P1206" s="53" t="s">
        <v>1494</v>
      </c>
      <c r="Q1206" s="52"/>
      <c r="R1206" s="52"/>
      <c r="S1206" s="54"/>
      <c r="T1206" s="52"/>
      <c r="U1206" s="54">
        <f t="shared" si="79"/>
        <v>160714.28571428571</v>
      </c>
      <c r="V1206" s="54">
        <f t="shared" si="81"/>
        <v>180000</v>
      </c>
      <c r="W1206" s="52"/>
      <c r="X1206" s="52">
        <v>2012</v>
      </c>
      <c r="Y1206" s="52"/>
    </row>
    <row r="1207" spans="2:25" s="55" customFormat="1" ht="76.5" outlineLevel="1">
      <c r="B1207" s="52" t="s">
        <v>677</v>
      </c>
      <c r="C1207" s="78" t="s">
        <v>246</v>
      </c>
      <c r="D1207" s="128" t="s">
        <v>2334</v>
      </c>
      <c r="E1207" s="56" t="s">
        <v>185</v>
      </c>
      <c r="F1207" s="53" t="s">
        <v>1493</v>
      </c>
      <c r="G1207" s="53"/>
      <c r="H1207" s="52" t="s">
        <v>243</v>
      </c>
      <c r="I1207" s="52">
        <v>100</v>
      </c>
      <c r="J1207" s="52">
        <v>550000000</v>
      </c>
      <c r="K1207" s="56" t="s">
        <v>124</v>
      </c>
      <c r="L1207" s="53" t="s">
        <v>1468</v>
      </c>
      <c r="M1207" s="56" t="s">
        <v>124</v>
      </c>
      <c r="N1207" s="52"/>
      <c r="O1207" s="53" t="s">
        <v>1975</v>
      </c>
      <c r="P1207" s="53" t="s">
        <v>1494</v>
      </c>
      <c r="Q1207" s="52"/>
      <c r="R1207" s="52"/>
      <c r="S1207" s="54"/>
      <c r="T1207" s="52"/>
      <c r="U1207" s="54">
        <f t="shared" si="79"/>
        <v>160714.28571428571</v>
      </c>
      <c r="V1207" s="54">
        <f t="shared" si="81"/>
        <v>180000</v>
      </c>
      <c r="W1207" s="52"/>
      <c r="X1207" s="52">
        <v>2012</v>
      </c>
      <c r="Y1207" s="52"/>
    </row>
    <row r="1208" spans="2:25" s="55" customFormat="1" ht="76.5" outlineLevel="1">
      <c r="B1208" s="52" t="s">
        <v>678</v>
      </c>
      <c r="C1208" s="78" t="s">
        <v>246</v>
      </c>
      <c r="D1208" s="128" t="s">
        <v>2334</v>
      </c>
      <c r="E1208" s="56" t="s">
        <v>185</v>
      </c>
      <c r="F1208" s="53" t="s">
        <v>1493</v>
      </c>
      <c r="G1208" s="53"/>
      <c r="H1208" s="52" t="s">
        <v>243</v>
      </c>
      <c r="I1208" s="52">
        <v>100</v>
      </c>
      <c r="J1208" s="52">
        <v>590000000</v>
      </c>
      <c r="K1208" s="56" t="s">
        <v>103</v>
      </c>
      <c r="L1208" s="53" t="s">
        <v>1468</v>
      </c>
      <c r="M1208" s="56" t="s">
        <v>103</v>
      </c>
      <c r="N1208" s="52"/>
      <c r="O1208" s="53" t="s">
        <v>1975</v>
      </c>
      <c r="P1208" s="53" t="s">
        <v>1494</v>
      </c>
      <c r="Q1208" s="52"/>
      <c r="R1208" s="52"/>
      <c r="S1208" s="54"/>
      <c r="T1208" s="52"/>
      <c r="U1208" s="54">
        <f t="shared" si="79"/>
        <v>160714.28571428571</v>
      </c>
      <c r="V1208" s="54">
        <f t="shared" si="81"/>
        <v>180000</v>
      </c>
      <c r="W1208" s="52"/>
      <c r="X1208" s="52">
        <v>2012</v>
      </c>
      <c r="Y1208" s="52"/>
    </row>
    <row r="1209" spans="2:25" s="55" customFormat="1" ht="76.5" outlineLevel="1">
      <c r="B1209" s="52" t="s">
        <v>679</v>
      </c>
      <c r="C1209" s="78" t="s">
        <v>246</v>
      </c>
      <c r="D1209" s="128" t="s">
        <v>2334</v>
      </c>
      <c r="E1209" s="56" t="s">
        <v>185</v>
      </c>
      <c r="F1209" s="53" t="s">
        <v>1493</v>
      </c>
      <c r="G1209" s="53"/>
      <c r="H1209" s="52" t="s">
        <v>243</v>
      </c>
      <c r="I1209" s="52">
        <v>100</v>
      </c>
      <c r="J1209" s="52">
        <v>510000000</v>
      </c>
      <c r="K1209" s="63" t="s">
        <v>104</v>
      </c>
      <c r="L1209" s="53" t="s">
        <v>1468</v>
      </c>
      <c r="M1209" s="63" t="s">
        <v>104</v>
      </c>
      <c r="N1209" s="52"/>
      <c r="O1209" s="53" t="s">
        <v>1975</v>
      </c>
      <c r="P1209" s="53" t="s">
        <v>1494</v>
      </c>
      <c r="Q1209" s="52"/>
      <c r="R1209" s="52"/>
      <c r="S1209" s="54"/>
      <c r="T1209" s="52"/>
      <c r="U1209" s="54">
        <f t="shared" si="79"/>
        <v>160714.28571428571</v>
      </c>
      <c r="V1209" s="54">
        <f t="shared" si="81"/>
        <v>180000</v>
      </c>
      <c r="W1209" s="52"/>
      <c r="X1209" s="52">
        <v>2012</v>
      </c>
      <c r="Y1209" s="52"/>
    </row>
    <row r="1210" spans="2:25" s="55" customFormat="1" ht="89.25" outlineLevel="1">
      <c r="B1210" s="52" t="s">
        <v>680</v>
      </c>
      <c r="C1210" s="78" t="s">
        <v>246</v>
      </c>
      <c r="D1210" s="128" t="s">
        <v>2331</v>
      </c>
      <c r="E1210" s="56" t="s">
        <v>186</v>
      </c>
      <c r="F1210" s="56" t="s">
        <v>186</v>
      </c>
      <c r="G1210" s="56"/>
      <c r="H1210" s="52" t="s">
        <v>243</v>
      </c>
      <c r="I1210" s="52">
        <v>80</v>
      </c>
      <c r="J1210" s="52">
        <v>751000000</v>
      </c>
      <c r="K1210" s="53" t="s">
        <v>2290</v>
      </c>
      <c r="L1210" s="53" t="s">
        <v>2287</v>
      </c>
      <c r="M1210" s="53" t="s">
        <v>2290</v>
      </c>
      <c r="N1210" s="52"/>
      <c r="O1210" s="53" t="s">
        <v>2176</v>
      </c>
      <c r="P1210" s="53" t="s">
        <v>1495</v>
      </c>
      <c r="Q1210" s="52"/>
      <c r="R1210" s="52"/>
      <c r="S1210" s="54"/>
      <c r="T1210" s="52"/>
      <c r="U1210" s="54">
        <f t="shared" ref="U1210:U1214" si="82">V1210/112*100</f>
        <v>4923482.1428571427</v>
      </c>
      <c r="V1210" s="54">
        <f>[1]коммун!$N$74*1000</f>
        <v>5514300</v>
      </c>
      <c r="W1210" s="52"/>
      <c r="X1210" s="52">
        <v>2012</v>
      </c>
      <c r="Y1210" s="52"/>
    </row>
    <row r="1211" spans="2:25" s="55" customFormat="1" ht="89.25" outlineLevel="1">
      <c r="B1211" s="52" t="s">
        <v>681</v>
      </c>
      <c r="C1211" s="78" t="s">
        <v>246</v>
      </c>
      <c r="D1211" s="128" t="s">
        <v>2331</v>
      </c>
      <c r="E1211" s="56" t="s">
        <v>187</v>
      </c>
      <c r="F1211" s="56" t="s">
        <v>187</v>
      </c>
      <c r="G1211" s="56"/>
      <c r="H1211" s="52" t="s">
        <v>243</v>
      </c>
      <c r="I1211" s="52">
        <v>100</v>
      </c>
      <c r="J1211" s="52">
        <v>751000000</v>
      </c>
      <c r="K1211" s="53" t="s">
        <v>2290</v>
      </c>
      <c r="L1211" s="53" t="s">
        <v>2287</v>
      </c>
      <c r="M1211" s="53" t="s">
        <v>2290</v>
      </c>
      <c r="N1211" s="52"/>
      <c r="O1211" s="53" t="s">
        <v>2176</v>
      </c>
      <c r="P1211" s="53" t="s">
        <v>1495</v>
      </c>
      <c r="Q1211" s="52"/>
      <c r="R1211" s="52"/>
      <c r="S1211" s="54"/>
      <c r="T1211" s="52"/>
      <c r="U1211" s="54">
        <f t="shared" si="82"/>
        <v>203764.28571428571</v>
      </c>
      <c r="V1211" s="54">
        <f>[1]коммун!$N$75*1000</f>
        <v>228216</v>
      </c>
      <c r="W1211" s="52"/>
      <c r="X1211" s="52">
        <v>2012</v>
      </c>
      <c r="Y1211" s="52"/>
    </row>
    <row r="1212" spans="2:25" s="55" customFormat="1" ht="102" outlineLevel="1">
      <c r="B1212" s="52" t="s">
        <v>682</v>
      </c>
      <c r="C1212" s="78" t="s">
        <v>246</v>
      </c>
      <c r="D1212" s="128" t="s">
        <v>2331</v>
      </c>
      <c r="E1212" s="56" t="s">
        <v>188</v>
      </c>
      <c r="F1212" s="56" t="s">
        <v>188</v>
      </c>
      <c r="G1212" s="56"/>
      <c r="H1212" s="52" t="s">
        <v>243</v>
      </c>
      <c r="I1212" s="52">
        <v>100</v>
      </c>
      <c r="J1212" s="52">
        <v>751000000</v>
      </c>
      <c r="K1212" s="53" t="s">
        <v>2290</v>
      </c>
      <c r="L1212" s="53" t="s">
        <v>2287</v>
      </c>
      <c r="M1212" s="53" t="s">
        <v>2290</v>
      </c>
      <c r="N1212" s="52"/>
      <c r="O1212" s="53" t="s">
        <v>2176</v>
      </c>
      <c r="P1212" s="53" t="s">
        <v>1496</v>
      </c>
      <c r="Q1212" s="52"/>
      <c r="R1212" s="52"/>
      <c r="S1212" s="54"/>
      <c r="T1212" s="52"/>
      <c r="U1212" s="54">
        <f t="shared" si="82"/>
        <v>7052008.9285714291</v>
      </c>
      <c r="V1212" s="54">
        <f>[1]коммун!$N$76*1000</f>
        <v>7898250</v>
      </c>
      <c r="W1212" s="52"/>
      <c r="X1212" s="52">
        <v>2012</v>
      </c>
      <c r="Y1212" s="52"/>
    </row>
    <row r="1213" spans="2:25" s="55" customFormat="1" ht="102" outlineLevel="1">
      <c r="B1213" s="52" t="s">
        <v>683</v>
      </c>
      <c r="C1213" s="78" t="s">
        <v>246</v>
      </c>
      <c r="D1213" s="52" t="s">
        <v>296</v>
      </c>
      <c r="E1213" s="56" t="s">
        <v>189</v>
      </c>
      <c r="F1213" s="56" t="s">
        <v>189</v>
      </c>
      <c r="G1213" s="56"/>
      <c r="H1213" s="52" t="s">
        <v>243</v>
      </c>
      <c r="I1213" s="52">
        <v>100</v>
      </c>
      <c r="J1213" s="52">
        <v>751000000</v>
      </c>
      <c r="K1213" s="53" t="s">
        <v>2290</v>
      </c>
      <c r="L1213" s="53" t="s">
        <v>2287</v>
      </c>
      <c r="M1213" s="53" t="s">
        <v>2290</v>
      </c>
      <c r="N1213" s="52"/>
      <c r="O1213" s="53" t="s">
        <v>2176</v>
      </c>
      <c r="P1213" s="53" t="s">
        <v>1497</v>
      </c>
      <c r="Q1213" s="52"/>
      <c r="R1213" s="52"/>
      <c r="S1213" s="54"/>
      <c r="T1213" s="52"/>
      <c r="U1213" s="54">
        <f t="shared" si="82"/>
        <v>835714.28571428568</v>
      </c>
      <c r="V1213" s="54">
        <f>[1]коммун!$N$77*1000</f>
        <v>936000</v>
      </c>
      <c r="W1213" s="52"/>
      <c r="X1213" s="52">
        <v>2012</v>
      </c>
      <c r="Y1213" s="52"/>
    </row>
    <row r="1214" spans="2:25" s="55" customFormat="1" ht="102" outlineLevel="1">
      <c r="B1214" s="52" t="s">
        <v>684</v>
      </c>
      <c r="C1214" s="78" t="s">
        <v>246</v>
      </c>
      <c r="D1214" s="52" t="s">
        <v>297</v>
      </c>
      <c r="E1214" s="56" t="s">
        <v>190</v>
      </c>
      <c r="F1214" s="56" t="s">
        <v>190</v>
      </c>
      <c r="G1214" s="56"/>
      <c r="H1214" s="52" t="s">
        <v>243</v>
      </c>
      <c r="I1214" s="52">
        <v>100</v>
      </c>
      <c r="J1214" s="52">
        <v>751000000</v>
      </c>
      <c r="K1214" s="53" t="s">
        <v>2290</v>
      </c>
      <c r="L1214" s="53" t="s">
        <v>2287</v>
      </c>
      <c r="M1214" s="53" t="s">
        <v>2290</v>
      </c>
      <c r="N1214" s="52"/>
      <c r="O1214" s="53" t="s">
        <v>2176</v>
      </c>
      <c r="P1214" s="53" t="s">
        <v>1498</v>
      </c>
      <c r="Q1214" s="52"/>
      <c r="R1214" s="52"/>
      <c r="S1214" s="54"/>
      <c r="T1214" s="52"/>
      <c r="U1214" s="54">
        <f t="shared" si="82"/>
        <v>565178.57142857148</v>
      </c>
      <c r="V1214" s="54">
        <f>[1]коммун!$N$78*1000</f>
        <v>633000</v>
      </c>
      <c r="W1214" s="52"/>
      <c r="X1214" s="52">
        <v>2012</v>
      </c>
      <c r="Y1214" s="52"/>
    </row>
    <row r="1215" spans="2:25" s="55" customFormat="1" ht="165.75">
      <c r="B1215" s="52" t="s">
        <v>685</v>
      </c>
      <c r="C1215" s="78" t="s">
        <v>246</v>
      </c>
      <c r="D1215" s="52" t="s">
        <v>2487</v>
      </c>
      <c r="E1215" s="56" t="s">
        <v>2186</v>
      </c>
      <c r="F1215" s="53" t="s">
        <v>1473</v>
      </c>
      <c r="G1215" s="53"/>
      <c r="H1215" s="52" t="s">
        <v>243</v>
      </c>
      <c r="I1215" s="52">
        <v>100</v>
      </c>
      <c r="J1215" s="52">
        <v>751000000</v>
      </c>
      <c r="K1215" s="53" t="s">
        <v>2290</v>
      </c>
      <c r="L1215" s="53" t="s">
        <v>1468</v>
      </c>
      <c r="M1215" s="53" t="s">
        <v>2290</v>
      </c>
      <c r="N1215" s="52"/>
      <c r="O1215" s="53" t="s">
        <v>1975</v>
      </c>
      <c r="P1215" s="53" t="s">
        <v>1614</v>
      </c>
      <c r="Q1215" s="52"/>
      <c r="R1215" s="52"/>
      <c r="S1215" s="54"/>
      <c r="T1215" s="52"/>
      <c r="U1215" s="54">
        <f t="shared" si="79"/>
        <v>1966071.4285714286</v>
      </c>
      <c r="V1215" s="54">
        <f>[7]консульт!$D$8+[7]консульт!$D$9</f>
        <v>2202000</v>
      </c>
      <c r="W1215" s="52"/>
      <c r="X1215" s="52">
        <v>2012</v>
      </c>
      <c r="Y1215" s="52"/>
    </row>
    <row r="1216" spans="2:25" s="55" customFormat="1" ht="102">
      <c r="B1216" s="52" t="s">
        <v>686</v>
      </c>
      <c r="C1216" s="78" t="s">
        <v>246</v>
      </c>
      <c r="D1216" s="52" t="s">
        <v>298</v>
      </c>
      <c r="E1216" s="56" t="s">
        <v>340</v>
      </c>
      <c r="F1216" s="53" t="s">
        <v>1472</v>
      </c>
      <c r="G1216" s="53"/>
      <c r="H1216" s="52" t="s">
        <v>243</v>
      </c>
      <c r="I1216" s="52">
        <v>100</v>
      </c>
      <c r="J1216" s="52">
        <v>751000000</v>
      </c>
      <c r="K1216" s="53" t="s">
        <v>2290</v>
      </c>
      <c r="L1216" s="53" t="s">
        <v>1468</v>
      </c>
      <c r="M1216" s="53" t="s">
        <v>2290</v>
      </c>
      <c r="N1216" s="52"/>
      <c r="O1216" s="53" t="s">
        <v>1975</v>
      </c>
      <c r="P1216" s="53" t="s">
        <v>1474</v>
      </c>
      <c r="Q1216" s="52"/>
      <c r="R1216" s="52"/>
      <c r="S1216" s="54"/>
      <c r="T1216" s="52"/>
      <c r="U1216" s="54">
        <f t="shared" si="79"/>
        <v>235714.28571428574</v>
      </c>
      <c r="V1216" s="54">
        <f>[1]консульт!$D$10</f>
        <v>264000</v>
      </c>
      <c r="W1216" s="52"/>
      <c r="X1216" s="52">
        <v>2012</v>
      </c>
      <c r="Y1216" s="52"/>
    </row>
    <row r="1217" spans="2:25" s="55" customFormat="1" ht="102">
      <c r="B1217" s="52" t="s">
        <v>687</v>
      </c>
      <c r="C1217" s="78" t="s">
        <v>246</v>
      </c>
      <c r="D1217" s="52" t="s">
        <v>298</v>
      </c>
      <c r="E1217" s="56" t="s">
        <v>2187</v>
      </c>
      <c r="F1217" s="53" t="s">
        <v>2188</v>
      </c>
      <c r="G1217" s="53"/>
      <c r="H1217" s="52" t="s">
        <v>243</v>
      </c>
      <c r="I1217" s="52">
        <v>100</v>
      </c>
      <c r="J1217" s="52">
        <v>751000000</v>
      </c>
      <c r="K1217" s="53" t="s">
        <v>2290</v>
      </c>
      <c r="L1217" s="53" t="s">
        <v>1557</v>
      </c>
      <c r="M1217" s="53" t="s">
        <v>2290</v>
      </c>
      <c r="N1217" s="52"/>
      <c r="O1217" s="53" t="s">
        <v>2189</v>
      </c>
      <c r="P1217" s="53" t="s">
        <v>1474</v>
      </c>
      <c r="Q1217" s="52"/>
      <c r="R1217" s="52"/>
      <c r="S1217" s="54"/>
      <c r="T1217" s="52"/>
      <c r="U1217" s="54">
        <f t="shared" si="79"/>
        <v>687500</v>
      </c>
      <c r="V1217" s="54">
        <f>[1]консульт!$D$12</f>
        <v>770000</v>
      </c>
      <c r="W1217" s="52"/>
      <c r="X1217" s="52">
        <v>2012</v>
      </c>
      <c r="Y1217" s="52"/>
    </row>
    <row r="1218" spans="2:25" s="55" customFormat="1" ht="63.75" outlineLevel="1">
      <c r="B1218" s="52" t="s">
        <v>688</v>
      </c>
      <c r="C1218" s="78" t="s">
        <v>246</v>
      </c>
      <c r="D1218" s="52" t="s">
        <v>341</v>
      </c>
      <c r="E1218" s="56" t="s">
        <v>225</v>
      </c>
      <c r="F1218" s="53" t="s">
        <v>1599</v>
      </c>
      <c r="G1218" s="53"/>
      <c r="H1218" s="52" t="s">
        <v>243</v>
      </c>
      <c r="I1218" s="52">
        <v>100</v>
      </c>
      <c r="J1218" s="52">
        <v>751000000</v>
      </c>
      <c r="K1218" s="53" t="s">
        <v>2290</v>
      </c>
      <c r="L1218" s="53" t="s">
        <v>1548</v>
      </c>
      <c r="M1218" s="53" t="s">
        <v>2290</v>
      </c>
      <c r="N1218" s="52"/>
      <c r="O1218" s="53" t="s">
        <v>1975</v>
      </c>
      <c r="P1218" s="53" t="s">
        <v>1600</v>
      </c>
      <c r="Q1218" s="52"/>
      <c r="R1218" s="52"/>
      <c r="S1218" s="54"/>
      <c r="T1218" s="52"/>
      <c r="U1218" s="54">
        <f t="shared" si="79"/>
        <v>0</v>
      </c>
      <c r="V1218" s="54">
        <v>0</v>
      </c>
      <c r="W1218" s="52"/>
      <c r="X1218" s="52">
        <v>2012</v>
      </c>
      <c r="Y1218" s="52">
        <v>14</v>
      </c>
    </row>
    <row r="1219" spans="2:25" s="55" customFormat="1" ht="63.75" outlineLevel="1">
      <c r="B1219" s="52" t="s">
        <v>2636</v>
      </c>
      <c r="C1219" s="78" t="s">
        <v>246</v>
      </c>
      <c r="D1219" s="52" t="s">
        <v>341</v>
      </c>
      <c r="E1219" s="56" t="s">
        <v>225</v>
      </c>
      <c r="F1219" s="53" t="s">
        <v>1599</v>
      </c>
      <c r="G1219" s="53"/>
      <c r="H1219" s="52" t="s">
        <v>243</v>
      </c>
      <c r="I1219" s="52">
        <v>100</v>
      </c>
      <c r="J1219" s="52">
        <v>751000000</v>
      </c>
      <c r="K1219" s="53" t="s">
        <v>2290</v>
      </c>
      <c r="L1219" s="53" t="s">
        <v>1548</v>
      </c>
      <c r="M1219" s="53" t="s">
        <v>2290</v>
      </c>
      <c r="N1219" s="52"/>
      <c r="O1219" s="53" t="s">
        <v>2637</v>
      </c>
      <c r="P1219" s="53" t="s">
        <v>1600</v>
      </c>
      <c r="Q1219" s="52"/>
      <c r="R1219" s="52"/>
      <c r="S1219" s="54"/>
      <c r="T1219" s="52"/>
      <c r="U1219" s="54">
        <f t="shared" si="79"/>
        <v>696428.57142857148</v>
      </c>
      <c r="V1219" s="54">
        <f>[1]консульт!$D$13</f>
        <v>780000</v>
      </c>
      <c r="W1219" s="52"/>
      <c r="X1219" s="52">
        <v>2012</v>
      </c>
      <c r="Y1219" s="52"/>
    </row>
    <row r="1220" spans="2:25" s="55" customFormat="1" ht="51" outlineLevel="1">
      <c r="B1220" s="52" t="s">
        <v>689</v>
      </c>
      <c r="C1220" s="78" t="s">
        <v>246</v>
      </c>
      <c r="D1220" s="57" t="s">
        <v>1613</v>
      </c>
      <c r="E1220" s="56" t="s">
        <v>1608</v>
      </c>
      <c r="F1220" s="53" t="s">
        <v>1609</v>
      </c>
      <c r="G1220" s="53"/>
      <c r="H1220" s="52" t="s">
        <v>243</v>
      </c>
      <c r="I1220" s="52">
        <v>100</v>
      </c>
      <c r="J1220" s="52">
        <v>110000000</v>
      </c>
      <c r="K1220" s="56" t="s">
        <v>125</v>
      </c>
      <c r="L1220" s="53" t="s">
        <v>1503</v>
      </c>
      <c r="M1220" s="56" t="s">
        <v>125</v>
      </c>
      <c r="N1220" s="52"/>
      <c r="O1220" s="53" t="s">
        <v>1975</v>
      </c>
      <c r="P1220" s="53" t="s">
        <v>1600</v>
      </c>
      <c r="Q1220" s="52"/>
      <c r="R1220" s="52"/>
      <c r="S1220" s="54"/>
      <c r="T1220" s="52"/>
      <c r="U1220" s="54">
        <f t="shared" si="79"/>
        <v>147857.14285714287</v>
      </c>
      <c r="V1220" s="54">
        <f>[2]Банк!$F$38</f>
        <v>165600</v>
      </c>
      <c r="W1220" s="52"/>
      <c r="X1220" s="52">
        <v>2012</v>
      </c>
      <c r="Y1220" s="52"/>
    </row>
    <row r="1221" spans="2:25" s="55" customFormat="1" ht="51" outlineLevel="1">
      <c r="B1221" s="52" t="s">
        <v>690</v>
      </c>
      <c r="C1221" s="78" t="s">
        <v>246</v>
      </c>
      <c r="D1221" s="57" t="s">
        <v>1613</v>
      </c>
      <c r="E1221" s="56" t="s">
        <v>1608</v>
      </c>
      <c r="F1221" s="53" t="s">
        <v>1609</v>
      </c>
      <c r="G1221" s="53"/>
      <c r="H1221" s="52" t="s">
        <v>243</v>
      </c>
      <c r="I1221" s="52">
        <v>100</v>
      </c>
      <c r="J1221" s="52">
        <v>150000000</v>
      </c>
      <c r="K1221" s="56" t="s">
        <v>126</v>
      </c>
      <c r="L1221" s="53" t="s">
        <v>1503</v>
      </c>
      <c r="M1221" s="56" t="s">
        <v>126</v>
      </c>
      <c r="N1221" s="52"/>
      <c r="O1221" s="53" t="s">
        <v>1975</v>
      </c>
      <c r="P1221" s="53" t="s">
        <v>1600</v>
      </c>
      <c r="Q1221" s="52"/>
      <c r="R1221" s="52"/>
      <c r="S1221" s="54"/>
      <c r="T1221" s="52"/>
      <c r="U1221" s="54">
        <f t="shared" si="79"/>
        <v>321428.57142857142</v>
      </c>
      <c r="V1221" s="54">
        <f>[2]Банк!$F$39</f>
        <v>360000</v>
      </c>
      <c r="W1221" s="52"/>
      <c r="X1221" s="52">
        <v>2012</v>
      </c>
      <c r="Y1221" s="52"/>
    </row>
    <row r="1222" spans="2:25" s="55" customFormat="1" ht="51" outlineLevel="1">
      <c r="B1222" s="52" t="s">
        <v>691</v>
      </c>
      <c r="C1222" s="78" t="s">
        <v>246</v>
      </c>
      <c r="D1222" s="57" t="s">
        <v>1613</v>
      </c>
      <c r="E1222" s="56" t="s">
        <v>1608</v>
      </c>
      <c r="F1222" s="53" t="s">
        <v>1609</v>
      </c>
      <c r="G1222" s="53"/>
      <c r="H1222" s="52" t="s">
        <v>243</v>
      </c>
      <c r="I1222" s="52">
        <v>100</v>
      </c>
      <c r="J1222" s="52">
        <v>190000000</v>
      </c>
      <c r="K1222" s="56" t="s">
        <v>117</v>
      </c>
      <c r="L1222" s="53" t="s">
        <v>1503</v>
      </c>
      <c r="M1222" s="56" t="s">
        <v>117</v>
      </c>
      <c r="N1222" s="52"/>
      <c r="O1222" s="53" t="s">
        <v>1975</v>
      </c>
      <c r="P1222" s="53" t="s">
        <v>1600</v>
      </c>
      <c r="Q1222" s="52"/>
      <c r="R1222" s="52"/>
      <c r="S1222" s="54"/>
      <c r="T1222" s="52"/>
      <c r="U1222" s="54">
        <f t="shared" si="79"/>
        <v>149464.28571428571</v>
      </c>
      <c r="V1222" s="54">
        <f>[2]Банк!$F$40</f>
        <v>167400</v>
      </c>
      <c r="W1222" s="52"/>
      <c r="X1222" s="52">
        <v>2012</v>
      </c>
      <c r="Y1222" s="52"/>
    </row>
    <row r="1223" spans="2:25" s="55" customFormat="1" ht="51" outlineLevel="1">
      <c r="B1223" s="52" t="s">
        <v>692</v>
      </c>
      <c r="C1223" s="78" t="s">
        <v>246</v>
      </c>
      <c r="D1223" s="57" t="s">
        <v>1613</v>
      </c>
      <c r="E1223" s="56" t="s">
        <v>1608</v>
      </c>
      <c r="F1223" s="53" t="s">
        <v>1609</v>
      </c>
      <c r="G1223" s="53"/>
      <c r="H1223" s="52" t="s">
        <v>243</v>
      </c>
      <c r="I1223" s="52">
        <v>100</v>
      </c>
      <c r="J1223" s="52">
        <v>711000000</v>
      </c>
      <c r="K1223" s="56" t="s">
        <v>151</v>
      </c>
      <c r="L1223" s="53" t="s">
        <v>1503</v>
      </c>
      <c r="M1223" s="53" t="s">
        <v>1816</v>
      </c>
      <c r="N1223" s="52"/>
      <c r="O1223" s="53" t="s">
        <v>1975</v>
      </c>
      <c r="P1223" s="53" t="s">
        <v>1600</v>
      </c>
      <c r="Q1223" s="52"/>
      <c r="R1223" s="52"/>
      <c r="S1223" s="54"/>
      <c r="T1223" s="52"/>
      <c r="U1223" s="54">
        <f t="shared" ref="U1223:U1287" si="83">V1223/112*100</f>
        <v>267857.14285714284</v>
      </c>
      <c r="V1223" s="54">
        <f>[2]Банк!$F$53</f>
        <v>300000</v>
      </c>
      <c r="W1223" s="52"/>
      <c r="X1223" s="52">
        <v>2012</v>
      </c>
      <c r="Y1223" s="52"/>
    </row>
    <row r="1224" spans="2:25" s="55" customFormat="1" ht="51" outlineLevel="1">
      <c r="B1224" s="52" t="s">
        <v>693</v>
      </c>
      <c r="C1224" s="78" t="s">
        <v>246</v>
      </c>
      <c r="D1224" s="57" t="s">
        <v>1613</v>
      </c>
      <c r="E1224" s="56" t="s">
        <v>1608</v>
      </c>
      <c r="F1224" s="53" t="s">
        <v>1609</v>
      </c>
      <c r="G1224" s="53"/>
      <c r="H1224" s="52" t="s">
        <v>243</v>
      </c>
      <c r="I1224" s="52">
        <v>100</v>
      </c>
      <c r="J1224" s="52">
        <v>751000000</v>
      </c>
      <c r="K1224" s="56" t="s">
        <v>1437</v>
      </c>
      <c r="L1224" s="53" t="s">
        <v>1503</v>
      </c>
      <c r="M1224" s="56" t="s">
        <v>1437</v>
      </c>
      <c r="N1224" s="52"/>
      <c r="O1224" s="53" t="s">
        <v>1975</v>
      </c>
      <c r="P1224" s="53" t="s">
        <v>1600</v>
      </c>
      <c r="Q1224" s="52"/>
      <c r="R1224" s="52"/>
      <c r="S1224" s="54"/>
      <c r="T1224" s="52"/>
      <c r="U1224" s="54">
        <f t="shared" si="83"/>
        <v>267857.14285714284</v>
      </c>
      <c r="V1224" s="54">
        <f>[2]Банк!$F$52</f>
        <v>300000</v>
      </c>
      <c r="W1224" s="52"/>
      <c r="X1224" s="52">
        <v>2012</v>
      </c>
      <c r="Y1224" s="52"/>
    </row>
    <row r="1225" spans="2:25" s="55" customFormat="1" ht="62.25" customHeight="1" outlineLevel="1">
      <c r="B1225" s="52" t="s">
        <v>694</v>
      </c>
      <c r="C1225" s="78" t="s">
        <v>246</v>
      </c>
      <c r="D1225" s="57" t="s">
        <v>1613</v>
      </c>
      <c r="E1225" s="56" t="s">
        <v>1608</v>
      </c>
      <c r="F1225" s="53" t="s">
        <v>1609</v>
      </c>
      <c r="G1225" s="53"/>
      <c r="H1225" s="52" t="s">
        <v>243</v>
      </c>
      <c r="I1225" s="52">
        <v>100</v>
      </c>
      <c r="J1225" s="52">
        <v>230000000</v>
      </c>
      <c r="K1225" s="56" t="s">
        <v>118</v>
      </c>
      <c r="L1225" s="53" t="s">
        <v>1503</v>
      </c>
      <c r="M1225" s="56" t="s">
        <v>118</v>
      </c>
      <c r="N1225" s="52"/>
      <c r="O1225" s="53" t="s">
        <v>1975</v>
      </c>
      <c r="P1225" s="53" t="s">
        <v>1600</v>
      </c>
      <c r="Q1225" s="52"/>
      <c r="R1225" s="52"/>
      <c r="S1225" s="54"/>
      <c r="T1225" s="52"/>
      <c r="U1225" s="54">
        <f t="shared" si="83"/>
        <v>150000</v>
      </c>
      <c r="V1225" s="54">
        <f>[2]Банк!$F$41</f>
        <v>168000</v>
      </c>
      <c r="W1225" s="52"/>
      <c r="X1225" s="52">
        <v>2012</v>
      </c>
      <c r="Y1225" s="52"/>
    </row>
    <row r="1226" spans="2:25" s="55" customFormat="1" ht="102" outlineLevel="1">
      <c r="B1226" s="52" t="s">
        <v>695</v>
      </c>
      <c r="C1226" s="78" t="s">
        <v>246</v>
      </c>
      <c r="D1226" s="57" t="s">
        <v>1613</v>
      </c>
      <c r="E1226" s="56" t="s">
        <v>1608</v>
      </c>
      <c r="F1226" s="53" t="s">
        <v>1609</v>
      </c>
      <c r="G1226" s="53"/>
      <c r="H1226" s="52" t="s">
        <v>243</v>
      </c>
      <c r="I1226" s="52">
        <v>100</v>
      </c>
      <c r="J1226" s="52">
        <v>630000000</v>
      </c>
      <c r="K1226" s="56" t="s">
        <v>97</v>
      </c>
      <c r="L1226" s="53" t="s">
        <v>1503</v>
      </c>
      <c r="M1226" s="56" t="s">
        <v>97</v>
      </c>
      <c r="N1226" s="52"/>
      <c r="O1226" s="53" t="s">
        <v>1975</v>
      </c>
      <c r="P1226" s="53" t="s">
        <v>1469</v>
      </c>
      <c r="Q1226" s="52"/>
      <c r="R1226" s="52"/>
      <c r="S1226" s="54"/>
      <c r="T1226" s="52"/>
      <c r="U1226" s="54">
        <f t="shared" si="83"/>
        <v>192857.14285714287</v>
      </c>
      <c r="V1226" s="54">
        <f>[2]Банк!$F$42</f>
        <v>216000</v>
      </c>
      <c r="W1226" s="52"/>
      <c r="X1226" s="52">
        <v>2012</v>
      </c>
      <c r="Y1226" s="52"/>
    </row>
    <row r="1227" spans="2:25" s="55" customFormat="1" ht="51" outlineLevel="1">
      <c r="B1227" s="52" t="s">
        <v>696</v>
      </c>
      <c r="C1227" s="78" t="s">
        <v>246</v>
      </c>
      <c r="D1227" s="57" t="s">
        <v>1613</v>
      </c>
      <c r="E1227" s="56" t="s">
        <v>1608</v>
      </c>
      <c r="F1227" s="53" t="s">
        <v>1609</v>
      </c>
      <c r="G1227" s="53"/>
      <c r="H1227" s="52" t="s">
        <v>243</v>
      </c>
      <c r="I1227" s="52">
        <v>100</v>
      </c>
      <c r="J1227" s="52">
        <v>310000000</v>
      </c>
      <c r="K1227" s="56" t="s">
        <v>119</v>
      </c>
      <c r="L1227" s="53" t="s">
        <v>1503</v>
      </c>
      <c r="M1227" s="56" t="s">
        <v>119</v>
      </c>
      <c r="N1227" s="52"/>
      <c r="O1227" s="53" t="s">
        <v>1975</v>
      </c>
      <c r="P1227" s="53" t="s">
        <v>1600</v>
      </c>
      <c r="Q1227" s="52"/>
      <c r="R1227" s="52"/>
      <c r="S1227" s="54"/>
      <c r="T1227" s="52"/>
      <c r="U1227" s="54">
        <f t="shared" si="83"/>
        <v>128571.42857142858</v>
      </c>
      <c r="V1227" s="54">
        <f>[2]Банк!$F$43</f>
        <v>144000</v>
      </c>
      <c r="W1227" s="52"/>
      <c r="X1227" s="52">
        <v>2012</v>
      </c>
      <c r="Y1227" s="52"/>
    </row>
    <row r="1228" spans="2:25" s="55" customFormat="1" ht="51" outlineLevel="1">
      <c r="B1228" s="52" t="s">
        <v>697</v>
      </c>
      <c r="C1228" s="78" t="s">
        <v>246</v>
      </c>
      <c r="D1228" s="57" t="s">
        <v>1613</v>
      </c>
      <c r="E1228" s="56" t="s">
        <v>1608</v>
      </c>
      <c r="F1228" s="53" t="s">
        <v>1609</v>
      </c>
      <c r="G1228" s="53"/>
      <c r="H1228" s="52" t="s">
        <v>243</v>
      </c>
      <c r="I1228" s="52">
        <v>100</v>
      </c>
      <c r="J1228" s="52">
        <v>270000000</v>
      </c>
      <c r="K1228" s="56" t="s">
        <v>98</v>
      </c>
      <c r="L1228" s="53" t="s">
        <v>1503</v>
      </c>
      <c r="M1228" s="56" t="s">
        <v>98</v>
      </c>
      <c r="N1228" s="52"/>
      <c r="O1228" s="53" t="s">
        <v>1975</v>
      </c>
      <c r="P1228" s="53" t="s">
        <v>1600</v>
      </c>
      <c r="Q1228" s="52"/>
      <c r="R1228" s="52"/>
      <c r="S1228" s="54"/>
      <c r="T1228" s="52"/>
      <c r="U1228" s="54">
        <f t="shared" si="83"/>
        <v>53571.428571428565</v>
      </c>
      <c r="V1228" s="54">
        <f>[2]Банк!$F$44</f>
        <v>60000</v>
      </c>
      <c r="W1228" s="52"/>
      <c r="X1228" s="52">
        <v>2012</v>
      </c>
      <c r="Y1228" s="52"/>
    </row>
    <row r="1229" spans="2:25" s="55" customFormat="1" ht="51" outlineLevel="1">
      <c r="B1229" s="52" t="s">
        <v>698</v>
      </c>
      <c r="C1229" s="78" t="s">
        <v>246</v>
      </c>
      <c r="D1229" s="57" t="s">
        <v>1613</v>
      </c>
      <c r="E1229" s="56" t="s">
        <v>1608</v>
      </c>
      <c r="F1229" s="53" t="s">
        <v>1609</v>
      </c>
      <c r="G1229" s="53"/>
      <c r="H1229" s="52" t="s">
        <v>243</v>
      </c>
      <c r="I1229" s="52">
        <v>100</v>
      </c>
      <c r="J1229" s="52">
        <v>350000000</v>
      </c>
      <c r="K1229" s="56" t="s">
        <v>120</v>
      </c>
      <c r="L1229" s="53" t="s">
        <v>1503</v>
      </c>
      <c r="M1229" s="56" t="s">
        <v>120</v>
      </c>
      <c r="N1229" s="52"/>
      <c r="O1229" s="53" t="s">
        <v>1975</v>
      </c>
      <c r="P1229" s="53" t="s">
        <v>1600</v>
      </c>
      <c r="Q1229" s="52"/>
      <c r="R1229" s="52"/>
      <c r="S1229" s="54"/>
      <c r="T1229" s="52"/>
      <c r="U1229" s="54">
        <f t="shared" si="83"/>
        <v>82142.857142857145</v>
      </c>
      <c r="V1229" s="54">
        <f>[2]Банк!$F$45</f>
        <v>92000</v>
      </c>
      <c r="W1229" s="52"/>
      <c r="X1229" s="52">
        <v>2012</v>
      </c>
      <c r="Y1229" s="52"/>
    </row>
    <row r="1230" spans="2:25" s="55" customFormat="1" ht="51" outlineLevel="1">
      <c r="B1230" s="52" t="s">
        <v>699</v>
      </c>
      <c r="C1230" s="78" t="s">
        <v>246</v>
      </c>
      <c r="D1230" s="57" t="s">
        <v>1613</v>
      </c>
      <c r="E1230" s="56" t="s">
        <v>1608</v>
      </c>
      <c r="F1230" s="53" t="s">
        <v>1609</v>
      </c>
      <c r="G1230" s="53"/>
      <c r="H1230" s="52" t="s">
        <v>243</v>
      </c>
      <c r="I1230" s="52">
        <v>100</v>
      </c>
      <c r="J1230" s="52">
        <v>390000000</v>
      </c>
      <c r="K1230" s="56" t="s">
        <v>121</v>
      </c>
      <c r="L1230" s="53" t="s">
        <v>1503</v>
      </c>
      <c r="M1230" s="56" t="s">
        <v>121</v>
      </c>
      <c r="N1230" s="52"/>
      <c r="O1230" s="53" t="s">
        <v>1975</v>
      </c>
      <c r="P1230" s="53" t="s">
        <v>1600</v>
      </c>
      <c r="Q1230" s="52"/>
      <c r="R1230" s="52"/>
      <c r="S1230" s="54"/>
      <c r="T1230" s="52"/>
      <c r="U1230" s="54">
        <f t="shared" si="83"/>
        <v>96428.571428571435</v>
      </c>
      <c r="V1230" s="54">
        <f>[2]Банк!$F$46</f>
        <v>108000</v>
      </c>
      <c r="W1230" s="52"/>
      <c r="X1230" s="52">
        <v>2012</v>
      </c>
      <c r="Y1230" s="52"/>
    </row>
    <row r="1231" spans="2:25" s="55" customFormat="1" ht="51" outlineLevel="1">
      <c r="B1231" s="52" t="s">
        <v>700</v>
      </c>
      <c r="C1231" s="78" t="s">
        <v>246</v>
      </c>
      <c r="D1231" s="57" t="s">
        <v>1613</v>
      </c>
      <c r="E1231" s="56" t="s">
        <v>1608</v>
      </c>
      <c r="F1231" s="53" t="s">
        <v>1609</v>
      </c>
      <c r="G1231" s="53"/>
      <c r="H1231" s="52" t="s">
        <v>243</v>
      </c>
      <c r="I1231" s="52">
        <v>100</v>
      </c>
      <c r="J1231" s="52">
        <v>430000000</v>
      </c>
      <c r="K1231" s="56" t="s">
        <v>122</v>
      </c>
      <c r="L1231" s="53" t="s">
        <v>1503</v>
      </c>
      <c r="M1231" s="56" t="s">
        <v>122</v>
      </c>
      <c r="N1231" s="52"/>
      <c r="O1231" s="53" t="s">
        <v>1975</v>
      </c>
      <c r="P1231" s="53" t="s">
        <v>1600</v>
      </c>
      <c r="Q1231" s="52"/>
      <c r="R1231" s="52"/>
      <c r="S1231" s="54"/>
      <c r="T1231" s="52"/>
      <c r="U1231" s="54">
        <f t="shared" si="83"/>
        <v>150000</v>
      </c>
      <c r="V1231" s="54">
        <f>[2]Банк!$F$47</f>
        <v>168000</v>
      </c>
      <c r="W1231" s="52"/>
      <c r="X1231" s="52">
        <v>2012</v>
      </c>
      <c r="Y1231" s="52"/>
    </row>
    <row r="1232" spans="2:25" s="55" customFormat="1" ht="51" outlineLevel="1">
      <c r="B1232" s="52" t="s">
        <v>701</v>
      </c>
      <c r="C1232" s="78" t="s">
        <v>246</v>
      </c>
      <c r="D1232" s="57" t="s">
        <v>1613</v>
      </c>
      <c r="E1232" s="56" t="s">
        <v>1608</v>
      </c>
      <c r="F1232" s="53" t="s">
        <v>1609</v>
      </c>
      <c r="G1232" s="53"/>
      <c r="H1232" s="52" t="s">
        <v>243</v>
      </c>
      <c r="I1232" s="52">
        <v>100</v>
      </c>
      <c r="J1232" s="52">
        <v>470000000</v>
      </c>
      <c r="K1232" s="56" t="s">
        <v>123</v>
      </c>
      <c r="L1232" s="53" t="s">
        <v>1503</v>
      </c>
      <c r="M1232" s="56" t="s">
        <v>123</v>
      </c>
      <c r="N1232" s="52"/>
      <c r="O1232" s="53" t="s">
        <v>1975</v>
      </c>
      <c r="P1232" s="53" t="s">
        <v>1600</v>
      </c>
      <c r="Q1232" s="52"/>
      <c r="R1232" s="52"/>
      <c r="S1232" s="54"/>
      <c r="T1232" s="52"/>
      <c r="U1232" s="54">
        <f t="shared" si="83"/>
        <v>107142.85714285713</v>
      </c>
      <c r="V1232" s="54">
        <f>[2]Банк!$F$48</f>
        <v>120000</v>
      </c>
      <c r="W1232" s="52"/>
      <c r="X1232" s="52">
        <v>2012</v>
      </c>
      <c r="Y1232" s="52"/>
    </row>
    <row r="1233" spans="2:25" s="55" customFormat="1" ht="51" outlineLevel="1">
      <c r="B1233" s="52" t="s">
        <v>702</v>
      </c>
      <c r="C1233" s="78" t="s">
        <v>246</v>
      </c>
      <c r="D1233" s="57" t="s">
        <v>1613</v>
      </c>
      <c r="E1233" s="56" t="s">
        <v>1608</v>
      </c>
      <c r="F1233" s="53" t="s">
        <v>1609</v>
      </c>
      <c r="G1233" s="53"/>
      <c r="H1233" s="52" t="s">
        <v>243</v>
      </c>
      <c r="I1233" s="52">
        <v>100</v>
      </c>
      <c r="J1233" s="52">
        <v>550000000</v>
      </c>
      <c r="K1233" s="56" t="s">
        <v>124</v>
      </c>
      <c r="L1233" s="53" t="s">
        <v>1503</v>
      </c>
      <c r="M1233" s="56" t="s">
        <v>124</v>
      </c>
      <c r="N1233" s="52"/>
      <c r="O1233" s="53" t="s">
        <v>1975</v>
      </c>
      <c r="P1233" s="53" t="s">
        <v>1600</v>
      </c>
      <c r="Q1233" s="52"/>
      <c r="R1233" s="52"/>
      <c r="S1233" s="54"/>
      <c r="T1233" s="52"/>
      <c r="U1233" s="54">
        <f t="shared" si="83"/>
        <v>87503.571428571435</v>
      </c>
      <c r="V1233" s="54">
        <f>[2]Банк!$F$49</f>
        <v>98004</v>
      </c>
      <c r="W1233" s="52"/>
      <c r="X1233" s="52">
        <v>2012</v>
      </c>
      <c r="Y1233" s="52"/>
    </row>
    <row r="1234" spans="2:25" s="55" customFormat="1" ht="51" outlineLevel="1">
      <c r="B1234" s="52" t="s">
        <v>703</v>
      </c>
      <c r="C1234" s="78" t="s">
        <v>246</v>
      </c>
      <c r="D1234" s="57" t="s">
        <v>1613</v>
      </c>
      <c r="E1234" s="56" t="s">
        <v>1608</v>
      </c>
      <c r="F1234" s="53" t="s">
        <v>1609</v>
      </c>
      <c r="G1234" s="53"/>
      <c r="H1234" s="52" t="s">
        <v>243</v>
      </c>
      <c r="I1234" s="52">
        <v>100</v>
      </c>
      <c r="J1234" s="52">
        <v>590000000</v>
      </c>
      <c r="K1234" s="56" t="s">
        <v>103</v>
      </c>
      <c r="L1234" s="53" t="s">
        <v>1503</v>
      </c>
      <c r="M1234" s="56" t="s">
        <v>103</v>
      </c>
      <c r="N1234" s="52"/>
      <c r="O1234" s="53" t="s">
        <v>1975</v>
      </c>
      <c r="P1234" s="53" t="s">
        <v>1600</v>
      </c>
      <c r="Q1234" s="52"/>
      <c r="R1234" s="52"/>
      <c r="S1234" s="54"/>
      <c r="T1234" s="52"/>
      <c r="U1234" s="54">
        <f t="shared" si="83"/>
        <v>103178.57142857142</v>
      </c>
      <c r="V1234" s="54">
        <f>[2]Банк!$F$50</f>
        <v>115560</v>
      </c>
      <c r="W1234" s="52"/>
      <c r="X1234" s="52">
        <v>2012</v>
      </c>
      <c r="Y1234" s="52"/>
    </row>
    <row r="1235" spans="2:25" s="55" customFormat="1" ht="51" outlineLevel="1">
      <c r="B1235" s="52" t="s">
        <v>704</v>
      </c>
      <c r="C1235" s="78" t="s">
        <v>246</v>
      </c>
      <c r="D1235" s="57" t="s">
        <v>1613</v>
      </c>
      <c r="E1235" s="56" t="s">
        <v>1608</v>
      </c>
      <c r="F1235" s="53" t="s">
        <v>1609</v>
      </c>
      <c r="G1235" s="53"/>
      <c r="H1235" s="52" t="s">
        <v>243</v>
      </c>
      <c r="I1235" s="52">
        <v>100</v>
      </c>
      <c r="J1235" s="52">
        <v>510000000</v>
      </c>
      <c r="K1235" s="63" t="s">
        <v>104</v>
      </c>
      <c r="L1235" s="53" t="s">
        <v>1503</v>
      </c>
      <c r="M1235" s="63" t="s">
        <v>104</v>
      </c>
      <c r="N1235" s="52"/>
      <c r="O1235" s="53" t="s">
        <v>1975</v>
      </c>
      <c r="P1235" s="53" t="s">
        <v>1600</v>
      </c>
      <c r="Q1235" s="52"/>
      <c r="R1235" s="52"/>
      <c r="S1235" s="54"/>
      <c r="T1235" s="52"/>
      <c r="U1235" s="54">
        <f t="shared" si="83"/>
        <v>182589.28571428571</v>
      </c>
      <c r="V1235" s="54">
        <f>[2]Банк!$F$51</f>
        <v>204500</v>
      </c>
      <c r="W1235" s="52"/>
      <c r="X1235" s="52">
        <v>2012</v>
      </c>
      <c r="Y1235" s="52"/>
    </row>
    <row r="1236" spans="2:25" s="55" customFormat="1" ht="51" outlineLevel="1">
      <c r="B1236" s="52" t="s">
        <v>705</v>
      </c>
      <c r="C1236" s="78" t="s">
        <v>246</v>
      </c>
      <c r="D1236" s="52" t="s">
        <v>298</v>
      </c>
      <c r="E1236" s="56" t="s">
        <v>191</v>
      </c>
      <c r="F1236" s="56" t="s">
        <v>1526</v>
      </c>
      <c r="G1236" s="56"/>
      <c r="H1236" s="52" t="s">
        <v>243</v>
      </c>
      <c r="I1236" s="52">
        <v>100</v>
      </c>
      <c r="J1236" s="52">
        <v>110000000</v>
      </c>
      <c r="K1236" s="56" t="s">
        <v>125</v>
      </c>
      <c r="L1236" s="53" t="s">
        <v>1627</v>
      </c>
      <c r="M1236" s="56" t="s">
        <v>125</v>
      </c>
      <c r="N1236" s="52"/>
      <c r="O1236" s="53" t="s">
        <v>1627</v>
      </c>
      <c r="P1236" s="53" t="s">
        <v>1524</v>
      </c>
      <c r="Q1236" s="52"/>
      <c r="R1236" s="52"/>
      <c r="S1236" s="54"/>
      <c r="T1236" s="52"/>
      <c r="U1236" s="54">
        <f t="shared" si="83"/>
        <v>53571.428571428565</v>
      </c>
      <c r="V1236" s="54">
        <f>960000/16</f>
        <v>60000</v>
      </c>
      <c r="W1236" s="52"/>
      <c r="X1236" s="52">
        <v>2012</v>
      </c>
      <c r="Y1236" s="52"/>
    </row>
    <row r="1237" spans="2:25" s="55" customFormat="1" ht="51" outlineLevel="1">
      <c r="B1237" s="52" t="s">
        <v>706</v>
      </c>
      <c r="C1237" s="78" t="s">
        <v>246</v>
      </c>
      <c r="D1237" s="52" t="s">
        <v>298</v>
      </c>
      <c r="E1237" s="56" t="s">
        <v>191</v>
      </c>
      <c r="F1237" s="56" t="s">
        <v>1526</v>
      </c>
      <c r="G1237" s="56"/>
      <c r="H1237" s="52" t="s">
        <v>243</v>
      </c>
      <c r="I1237" s="52">
        <v>100</v>
      </c>
      <c r="J1237" s="52">
        <v>150000000</v>
      </c>
      <c r="K1237" s="56" t="s">
        <v>126</v>
      </c>
      <c r="L1237" s="53" t="s">
        <v>1627</v>
      </c>
      <c r="M1237" s="56" t="s">
        <v>126</v>
      </c>
      <c r="N1237" s="52"/>
      <c r="O1237" s="53" t="s">
        <v>1627</v>
      </c>
      <c r="P1237" s="53" t="s">
        <v>1524</v>
      </c>
      <c r="Q1237" s="52"/>
      <c r="R1237" s="52"/>
      <c r="S1237" s="54"/>
      <c r="T1237" s="52"/>
      <c r="U1237" s="54">
        <f t="shared" si="83"/>
        <v>53571.428571428565</v>
      </c>
      <c r="V1237" s="54">
        <f t="shared" ref="V1237:V1251" si="84">960000/16</f>
        <v>60000</v>
      </c>
      <c r="W1237" s="52"/>
      <c r="X1237" s="52">
        <v>2012</v>
      </c>
      <c r="Y1237" s="52"/>
    </row>
    <row r="1238" spans="2:25" s="55" customFormat="1" ht="51" outlineLevel="1">
      <c r="B1238" s="52" t="s">
        <v>707</v>
      </c>
      <c r="C1238" s="78" t="s">
        <v>246</v>
      </c>
      <c r="D1238" s="52" t="s">
        <v>298</v>
      </c>
      <c r="E1238" s="56" t="s">
        <v>191</v>
      </c>
      <c r="F1238" s="56" t="s">
        <v>1526</v>
      </c>
      <c r="G1238" s="56"/>
      <c r="H1238" s="52" t="s">
        <v>243</v>
      </c>
      <c r="I1238" s="52">
        <v>100</v>
      </c>
      <c r="J1238" s="52">
        <v>190000000</v>
      </c>
      <c r="K1238" s="56" t="s">
        <v>117</v>
      </c>
      <c r="L1238" s="53" t="s">
        <v>1627</v>
      </c>
      <c r="M1238" s="56" t="s">
        <v>117</v>
      </c>
      <c r="N1238" s="52"/>
      <c r="O1238" s="53" t="s">
        <v>1627</v>
      </c>
      <c r="P1238" s="53" t="s">
        <v>1524</v>
      </c>
      <c r="Q1238" s="52"/>
      <c r="R1238" s="52"/>
      <c r="S1238" s="54"/>
      <c r="T1238" s="52"/>
      <c r="U1238" s="54">
        <f t="shared" si="83"/>
        <v>53571.428571428565</v>
      </c>
      <c r="V1238" s="54">
        <f t="shared" si="84"/>
        <v>60000</v>
      </c>
      <c r="W1238" s="52"/>
      <c r="X1238" s="52">
        <v>2012</v>
      </c>
      <c r="Y1238" s="52"/>
    </row>
    <row r="1239" spans="2:25" s="55" customFormat="1" ht="51" outlineLevel="1">
      <c r="B1239" s="52" t="s">
        <v>708</v>
      </c>
      <c r="C1239" s="78" t="s">
        <v>246</v>
      </c>
      <c r="D1239" s="52" t="s">
        <v>298</v>
      </c>
      <c r="E1239" s="56" t="s">
        <v>191</v>
      </c>
      <c r="F1239" s="56" t="s">
        <v>1526</v>
      </c>
      <c r="G1239" s="56"/>
      <c r="H1239" s="52" t="s">
        <v>243</v>
      </c>
      <c r="I1239" s="52">
        <v>100</v>
      </c>
      <c r="J1239" s="52">
        <v>711000000</v>
      </c>
      <c r="K1239" s="56" t="s">
        <v>151</v>
      </c>
      <c r="L1239" s="53" t="s">
        <v>1627</v>
      </c>
      <c r="M1239" s="53" t="s">
        <v>1816</v>
      </c>
      <c r="N1239" s="52"/>
      <c r="O1239" s="53" t="s">
        <v>1627</v>
      </c>
      <c r="P1239" s="53" t="s">
        <v>1524</v>
      </c>
      <c r="Q1239" s="52"/>
      <c r="R1239" s="52"/>
      <c r="S1239" s="54"/>
      <c r="T1239" s="52"/>
      <c r="U1239" s="54">
        <f t="shared" si="83"/>
        <v>53571.428571428565</v>
      </c>
      <c r="V1239" s="54">
        <f t="shared" si="84"/>
        <v>60000</v>
      </c>
      <c r="W1239" s="52"/>
      <c r="X1239" s="52">
        <v>2012</v>
      </c>
      <c r="Y1239" s="52"/>
    </row>
    <row r="1240" spans="2:25" s="55" customFormat="1" ht="51" outlineLevel="1">
      <c r="B1240" s="52" t="s">
        <v>709</v>
      </c>
      <c r="C1240" s="78" t="s">
        <v>246</v>
      </c>
      <c r="D1240" s="52" t="s">
        <v>298</v>
      </c>
      <c r="E1240" s="56" t="s">
        <v>191</v>
      </c>
      <c r="F1240" s="56" t="s">
        <v>1526</v>
      </c>
      <c r="G1240" s="56"/>
      <c r="H1240" s="52" t="s">
        <v>243</v>
      </c>
      <c r="I1240" s="52">
        <v>100</v>
      </c>
      <c r="J1240" s="52">
        <v>751000000</v>
      </c>
      <c r="K1240" s="63" t="s">
        <v>1437</v>
      </c>
      <c r="L1240" s="53" t="s">
        <v>1976</v>
      </c>
      <c r="M1240" s="63" t="s">
        <v>1437</v>
      </c>
      <c r="N1240" s="52"/>
      <c r="O1240" s="53" t="s">
        <v>1976</v>
      </c>
      <c r="P1240" s="53" t="s">
        <v>1524</v>
      </c>
      <c r="Q1240" s="52"/>
      <c r="R1240" s="52"/>
      <c r="S1240" s="54"/>
      <c r="T1240" s="52"/>
      <c r="U1240" s="54">
        <f t="shared" si="83"/>
        <v>53571.428571428565</v>
      </c>
      <c r="V1240" s="54">
        <f t="shared" si="84"/>
        <v>60000</v>
      </c>
      <c r="W1240" s="52"/>
      <c r="X1240" s="52">
        <v>2012</v>
      </c>
      <c r="Y1240" s="52"/>
    </row>
    <row r="1241" spans="2:25" s="55" customFormat="1" ht="51" outlineLevel="1">
      <c r="B1241" s="52" t="s">
        <v>710</v>
      </c>
      <c r="C1241" s="78" t="s">
        <v>246</v>
      </c>
      <c r="D1241" s="52" t="s">
        <v>298</v>
      </c>
      <c r="E1241" s="56" t="s">
        <v>191</v>
      </c>
      <c r="F1241" s="56" t="s">
        <v>1526</v>
      </c>
      <c r="G1241" s="56"/>
      <c r="H1241" s="52" t="s">
        <v>243</v>
      </c>
      <c r="I1241" s="52">
        <v>100</v>
      </c>
      <c r="J1241" s="52">
        <v>230000000</v>
      </c>
      <c r="K1241" s="56" t="s">
        <v>118</v>
      </c>
      <c r="L1241" s="53" t="s">
        <v>1627</v>
      </c>
      <c r="M1241" s="56" t="s">
        <v>118</v>
      </c>
      <c r="N1241" s="52"/>
      <c r="O1241" s="53" t="s">
        <v>1627</v>
      </c>
      <c r="P1241" s="53" t="s">
        <v>1524</v>
      </c>
      <c r="Q1241" s="52"/>
      <c r="R1241" s="52"/>
      <c r="S1241" s="54"/>
      <c r="T1241" s="52"/>
      <c r="U1241" s="54">
        <f t="shared" si="83"/>
        <v>53571.428571428565</v>
      </c>
      <c r="V1241" s="54">
        <f t="shared" si="84"/>
        <v>60000</v>
      </c>
      <c r="W1241" s="52"/>
      <c r="X1241" s="52">
        <v>2012</v>
      </c>
      <c r="Y1241" s="52"/>
    </row>
    <row r="1242" spans="2:25" s="55" customFormat="1" ht="51" outlineLevel="1">
      <c r="B1242" s="52" t="s">
        <v>711</v>
      </c>
      <c r="C1242" s="78" t="s">
        <v>246</v>
      </c>
      <c r="D1242" s="52" t="s">
        <v>298</v>
      </c>
      <c r="E1242" s="56" t="s">
        <v>191</v>
      </c>
      <c r="F1242" s="56" t="s">
        <v>1526</v>
      </c>
      <c r="G1242" s="56"/>
      <c r="H1242" s="52" t="s">
        <v>243</v>
      </c>
      <c r="I1242" s="52">
        <v>100</v>
      </c>
      <c r="J1242" s="52">
        <v>630000000</v>
      </c>
      <c r="K1242" s="56" t="s">
        <v>97</v>
      </c>
      <c r="L1242" s="53" t="s">
        <v>1627</v>
      </c>
      <c r="M1242" s="56" t="s">
        <v>97</v>
      </c>
      <c r="N1242" s="52"/>
      <c r="O1242" s="53" t="s">
        <v>1627</v>
      </c>
      <c r="P1242" s="53" t="s">
        <v>1524</v>
      </c>
      <c r="Q1242" s="52"/>
      <c r="R1242" s="52"/>
      <c r="S1242" s="54"/>
      <c r="T1242" s="52"/>
      <c r="U1242" s="54">
        <f t="shared" si="83"/>
        <v>53571.428571428565</v>
      </c>
      <c r="V1242" s="54">
        <f t="shared" si="84"/>
        <v>60000</v>
      </c>
      <c r="W1242" s="52"/>
      <c r="X1242" s="52">
        <v>2012</v>
      </c>
      <c r="Y1242" s="52"/>
    </row>
    <row r="1243" spans="2:25" s="55" customFormat="1" ht="51" outlineLevel="1">
      <c r="B1243" s="52" t="s">
        <v>712</v>
      </c>
      <c r="C1243" s="78" t="s">
        <v>246</v>
      </c>
      <c r="D1243" s="52" t="s">
        <v>298</v>
      </c>
      <c r="E1243" s="56" t="s">
        <v>191</v>
      </c>
      <c r="F1243" s="56" t="s">
        <v>1526</v>
      </c>
      <c r="G1243" s="56"/>
      <c r="H1243" s="52" t="s">
        <v>243</v>
      </c>
      <c r="I1243" s="52">
        <v>100</v>
      </c>
      <c r="J1243" s="52">
        <v>310000000</v>
      </c>
      <c r="K1243" s="56" t="s">
        <v>119</v>
      </c>
      <c r="L1243" s="53" t="s">
        <v>1627</v>
      </c>
      <c r="M1243" s="56" t="s">
        <v>119</v>
      </c>
      <c r="N1243" s="52"/>
      <c r="O1243" s="53" t="s">
        <v>2180</v>
      </c>
      <c r="P1243" s="53" t="s">
        <v>1524</v>
      </c>
      <c r="Q1243" s="52"/>
      <c r="R1243" s="52"/>
      <c r="S1243" s="54"/>
      <c r="T1243" s="52"/>
      <c r="U1243" s="54">
        <f t="shared" si="83"/>
        <v>53571.428571428565</v>
      </c>
      <c r="V1243" s="54">
        <f t="shared" si="84"/>
        <v>60000</v>
      </c>
      <c r="W1243" s="52"/>
      <c r="X1243" s="52">
        <v>2012</v>
      </c>
      <c r="Y1243" s="52"/>
    </row>
    <row r="1244" spans="2:25" s="55" customFormat="1" ht="51" outlineLevel="1">
      <c r="B1244" s="52" t="s">
        <v>713</v>
      </c>
      <c r="C1244" s="78" t="s">
        <v>246</v>
      </c>
      <c r="D1244" s="52" t="s">
        <v>298</v>
      </c>
      <c r="E1244" s="56" t="s">
        <v>191</v>
      </c>
      <c r="F1244" s="56" t="s">
        <v>1526</v>
      </c>
      <c r="G1244" s="56"/>
      <c r="H1244" s="52" t="s">
        <v>243</v>
      </c>
      <c r="I1244" s="52">
        <v>100</v>
      </c>
      <c r="J1244" s="52">
        <v>270000000</v>
      </c>
      <c r="K1244" s="56" t="s">
        <v>98</v>
      </c>
      <c r="L1244" s="53" t="s">
        <v>1627</v>
      </c>
      <c r="M1244" s="56" t="s">
        <v>98</v>
      </c>
      <c r="N1244" s="52"/>
      <c r="O1244" s="53" t="s">
        <v>1627</v>
      </c>
      <c r="P1244" s="53" t="s">
        <v>1524</v>
      </c>
      <c r="Q1244" s="52"/>
      <c r="R1244" s="52"/>
      <c r="S1244" s="54"/>
      <c r="T1244" s="52"/>
      <c r="U1244" s="54">
        <f t="shared" si="83"/>
        <v>53571.428571428565</v>
      </c>
      <c r="V1244" s="54">
        <f t="shared" si="84"/>
        <v>60000</v>
      </c>
      <c r="W1244" s="52"/>
      <c r="X1244" s="52">
        <v>2012</v>
      </c>
      <c r="Y1244" s="52"/>
    </row>
    <row r="1245" spans="2:25" s="55" customFormat="1" ht="51" outlineLevel="1">
      <c r="B1245" s="52" t="s">
        <v>714</v>
      </c>
      <c r="C1245" s="78" t="s">
        <v>246</v>
      </c>
      <c r="D1245" s="52" t="s">
        <v>298</v>
      </c>
      <c r="E1245" s="56" t="s">
        <v>191</v>
      </c>
      <c r="F1245" s="56" t="s">
        <v>1526</v>
      </c>
      <c r="G1245" s="56"/>
      <c r="H1245" s="52" t="s">
        <v>243</v>
      </c>
      <c r="I1245" s="52">
        <v>100</v>
      </c>
      <c r="J1245" s="52">
        <v>350000000</v>
      </c>
      <c r="K1245" s="56" t="s">
        <v>120</v>
      </c>
      <c r="L1245" s="53" t="s">
        <v>1627</v>
      </c>
      <c r="M1245" s="56" t="s">
        <v>120</v>
      </c>
      <c r="N1245" s="52"/>
      <c r="O1245" s="53" t="s">
        <v>1627</v>
      </c>
      <c r="P1245" s="53" t="s">
        <v>1524</v>
      </c>
      <c r="Q1245" s="52"/>
      <c r="R1245" s="52"/>
      <c r="S1245" s="54"/>
      <c r="T1245" s="52"/>
      <c r="U1245" s="54">
        <f t="shared" si="83"/>
        <v>53571.428571428565</v>
      </c>
      <c r="V1245" s="54">
        <f t="shared" si="84"/>
        <v>60000</v>
      </c>
      <c r="W1245" s="52"/>
      <c r="X1245" s="52">
        <v>2012</v>
      </c>
      <c r="Y1245" s="52"/>
    </row>
    <row r="1246" spans="2:25" s="55" customFormat="1" ht="51" outlineLevel="1">
      <c r="B1246" s="52" t="s">
        <v>715</v>
      </c>
      <c r="C1246" s="78" t="s">
        <v>246</v>
      </c>
      <c r="D1246" s="52" t="s">
        <v>298</v>
      </c>
      <c r="E1246" s="56" t="s">
        <v>191</v>
      </c>
      <c r="F1246" s="56" t="s">
        <v>1526</v>
      </c>
      <c r="G1246" s="56"/>
      <c r="H1246" s="52" t="s">
        <v>243</v>
      </c>
      <c r="I1246" s="52">
        <v>100</v>
      </c>
      <c r="J1246" s="52">
        <v>390000000</v>
      </c>
      <c r="K1246" s="56" t="s">
        <v>121</v>
      </c>
      <c r="L1246" s="53" t="s">
        <v>1627</v>
      </c>
      <c r="M1246" s="56" t="s">
        <v>121</v>
      </c>
      <c r="N1246" s="52"/>
      <c r="O1246" s="53" t="s">
        <v>1627</v>
      </c>
      <c r="P1246" s="53" t="s">
        <v>1524</v>
      </c>
      <c r="Q1246" s="52"/>
      <c r="R1246" s="52"/>
      <c r="S1246" s="54"/>
      <c r="T1246" s="52"/>
      <c r="U1246" s="54">
        <f t="shared" si="83"/>
        <v>53571.428571428565</v>
      </c>
      <c r="V1246" s="54">
        <f t="shared" si="84"/>
        <v>60000</v>
      </c>
      <c r="W1246" s="52"/>
      <c r="X1246" s="52">
        <v>2012</v>
      </c>
      <c r="Y1246" s="52"/>
    </row>
    <row r="1247" spans="2:25" s="55" customFormat="1" ht="51" outlineLevel="1">
      <c r="B1247" s="52" t="s">
        <v>716</v>
      </c>
      <c r="C1247" s="78" t="s">
        <v>246</v>
      </c>
      <c r="D1247" s="52" t="s">
        <v>298</v>
      </c>
      <c r="E1247" s="56" t="s">
        <v>191</v>
      </c>
      <c r="F1247" s="56" t="s">
        <v>1526</v>
      </c>
      <c r="G1247" s="56"/>
      <c r="H1247" s="52" t="s">
        <v>243</v>
      </c>
      <c r="I1247" s="52">
        <v>100</v>
      </c>
      <c r="J1247" s="52">
        <v>430000000</v>
      </c>
      <c r="K1247" s="56" t="s">
        <v>122</v>
      </c>
      <c r="L1247" s="53" t="s">
        <v>1627</v>
      </c>
      <c r="M1247" s="56" t="s">
        <v>122</v>
      </c>
      <c r="N1247" s="52"/>
      <c r="O1247" s="53" t="s">
        <v>1627</v>
      </c>
      <c r="P1247" s="53" t="s">
        <v>1524</v>
      </c>
      <c r="Q1247" s="52"/>
      <c r="R1247" s="52"/>
      <c r="S1247" s="54"/>
      <c r="T1247" s="52"/>
      <c r="U1247" s="54">
        <f t="shared" si="83"/>
        <v>53571.428571428565</v>
      </c>
      <c r="V1247" s="54">
        <f t="shared" si="84"/>
        <v>60000</v>
      </c>
      <c r="W1247" s="52"/>
      <c r="X1247" s="52">
        <v>2012</v>
      </c>
      <c r="Y1247" s="52"/>
    </row>
    <row r="1248" spans="2:25" s="55" customFormat="1" ht="51" outlineLevel="1">
      <c r="B1248" s="52" t="s">
        <v>717</v>
      </c>
      <c r="C1248" s="78" t="s">
        <v>246</v>
      </c>
      <c r="D1248" s="52" t="s">
        <v>298</v>
      </c>
      <c r="E1248" s="56" t="s">
        <v>191</v>
      </c>
      <c r="F1248" s="56" t="s">
        <v>1526</v>
      </c>
      <c r="G1248" s="56"/>
      <c r="H1248" s="52" t="s">
        <v>243</v>
      </c>
      <c r="I1248" s="52">
        <v>100</v>
      </c>
      <c r="J1248" s="52">
        <v>470000000</v>
      </c>
      <c r="K1248" s="56" t="s">
        <v>123</v>
      </c>
      <c r="L1248" s="53" t="s">
        <v>1627</v>
      </c>
      <c r="M1248" s="56" t="s">
        <v>123</v>
      </c>
      <c r="N1248" s="52"/>
      <c r="O1248" s="53" t="s">
        <v>1627</v>
      </c>
      <c r="P1248" s="53" t="s">
        <v>1524</v>
      </c>
      <c r="Q1248" s="52"/>
      <c r="R1248" s="52"/>
      <c r="S1248" s="54"/>
      <c r="T1248" s="52"/>
      <c r="U1248" s="54">
        <f t="shared" si="83"/>
        <v>53571.428571428565</v>
      </c>
      <c r="V1248" s="54">
        <f t="shared" si="84"/>
        <v>60000</v>
      </c>
      <c r="W1248" s="52"/>
      <c r="X1248" s="52">
        <v>2012</v>
      </c>
      <c r="Y1248" s="52"/>
    </row>
    <row r="1249" spans="2:25" s="55" customFormat="1" ht="51" outlineLevel="1">
      <c r="B1249" s="52" t="s">
        <v>718</v>
      </c>
      <c r="C1249" s="78" t="s">
        <v>246</v>
      </c>
      <c r="D1249" s="52" t="s">
        <v>298</v>
      </c>
      <c r="E1249" s="56" t="s">
        <v>191</v>
      </c>
      <c r="F1249" s="56" t="s">
        <v>1526</v>
      </c>
      <c r="G1249" s="56"/>
      <c r="H1249" s="52" t="s">
        <v>243</v>
      </c>
      <c r="I1249" s="52">
        <v>100</v>
      </c>
      <c r="J1249" s="52">
        <v>550000000</v>
      </c>
      <c r="K1249" s="56" t="s">
        <v>124</v>
      </c>
      <c r="L1249" s="53" t="s">
        <v>1627</v>
      </c>
      <c r="M1249" s="56" t="s">
        <v>124</v>
      </c>
      <c r="N1249" s="52"/>
      <c r="O1249" s="53" t="s">
        <v>1627</v>
      </c>
      <c r="P1249" s="53" t="s">
        <v>1524</v>
      </c>
      <c r="Q1249" s="52"/>
      <c r="R1249" s="52"/>
      <c r="S1249" s="54"/>
      <c r="T1249" s="52"/>
      <c r="U1249" s="54">
        <f t="shared" si="83"/>
        <v>53571.428571428565</v>
      </c>
      <c r="V1249" s="54">
        <f t="shared" si="84"/>
        <v>60000</v>
      </c>
      <c r="W1249" s="52"/>
      <c r="X1249" s="52">
        <v>2012</v>
      </c>
      <c r="Y1249" s="52"/>
    </row>
    <row r="1250" spans="2:25" s="55" customFormat="1" ht="51" outlineLevel="1">
      <c r="B1250" s="52" t="s">
        <v>719</v>
      </c>
      <c r="C1250" s="78" t="s">
        <v>246</v>
      </c>
      <c r="D1250" s="52" t="s">
        <v>298</v>
      </c>
      <c r="E1250" s="56" t="s">
        <v>191</v>
      </c>
      <c r="F1250" s="56" t="s">
        <v>1526</v>
      </c>
      <c r="G1250" s="56"/>
      <c r="H1250" s="52" t="s">
        <v>243</v>
      </c>
      <c r="I1250" s="52">
        <v>100</v>
      </c>
      <c r="J1250" s="52">
        <v>590000000</v>
      </c>
      <c r="K1250" s="56" t="s">
        <v>103</v>
      </c>
      <c r="L1250" s="53" t="s">
        <v>1627</v>
      </c>
      <c r="M1250" s="56" t="s">
        <v>103</v>
      </c>
      <c r="N1250" s="52"/>
      <c r="O1250" s="53" t="s">
        <v>1627</v>
      </c>
      <c r="P1250" s="53" t="s">
        <v>1524</v>
      </c>
      <c r="Q1250" s="52"/>
      <c r="R1250" s="52"/>
      <c r="S1250" s="54"/>
      <c r="T1250" s="52"/>
      <c r="U1250" s="54">
        <f t="shared" si="83"/>
        <v>53571.428571428565</v>
      </c>
      <c r="V1250" s="54">
        <f t="shared" si="84"/>
        <v>60000</v>
      </c>
      <c r="W1250" s="52"/>
      <c r="X1250" s="52">
        <v>2012</v>
      </c>
      <c r="Y1250" s="52"/>
    </row>
    <row r="1251" spans="2:25" s="55" customFormat="1" ht="51" outlineLevel="1">
      <c r="B1251" s="52" t="s">
        <v>720</v>
      </c>
      <c r="C1251" s="78" t="s">
        <v>246</v>
      </c>
      <c r="D1251" s="52" t="s">
        <v>298</v>
      </c>
      <c r="E1251" s="56" t="s">
        <v>191</v>
      </c>
      <c r="F1251" s="56" t="s">
        <v>1526</v>
      </c>
      <c r="G1251" s="56"/>
      <c r="H1251" s="52" t="s">
        <v>243</v>
      </c>
      <c r="I1251" s="52">
        <v>100</v>
      </c>
      <c r="J1251" s="52">
        <v>510000000</v>
      </c>
      <c r="K1251" s="63" t="s">
        <v>104</v>
      </c>
      <c r="L1251" s="53" t="s">
        <v>1627</v>
      </c>
      <c r="M1251" s="63" t="s">
        <v>104</v>
      </c>
      <c r="N1251" s="52"/>
      <c r="O1251" s="53" t="s">
        <v>1627</v>
      </c>
      <c r="P1251" s="53" t="s">
        <v>1524</v>
      </c>
      <c r="Q1251" s="52"/>
      <c r="R1251" s="52"/>
      <c r="S1251" s="54"/>
      <c r="T1251" s="52"/>
      <c r="U1251" s="54">
        <f t="shared" si="83"/>
        <v>53571.428571428565</v>
      </c>
      <c r="V1251" s="54">
        <f t="shared" si="84"/>
        <v>60000</v>
      </c>
      <c r="W1251" s="52"/>
      <c r="X1251" s="52">
        <v>2012</v>
      </c>
      <c r="Y1251" s="52"/>
    </row>
    <row r="1252" spans="2:25" s="55" customFormat="1" ht="74.25" customHeight="1" outlineLevel="1">
      <c r="B1252" s="52" t="s">
        <v>721</v>
      </c>
      <c r="C1252" s="78" t="s">
        <v>246</v>
      </c>
      <c r="D1252" s="52" t="s">
        <v>339</v>
      </c>
      <c r="E1252" s="56" t="s">
        <v>1534</v>
      </c>
      <c r="F1252" s="56" t="s">
        <v>2301</v>
      </c>
      <c r="G1252" s="56"/>
      <c r="H1252" s="52" t="s">
        <v>243</v>
      </c>
      <c r="I1252" s="52">
        <v>100</v>
      </c>
      <c r="J1252" s="52">
        <v>110000000</v>
      </c>
      <c r="K1252" s="56" t="s">
        <v>125</v>
      </c>
      <c r="L1252" s="53" t="s">
        <v>1627</v>
      </c>
      <c r="M1252" s="56" t="s">
        <v>125</v>
      </c>
      <c r="N1252" s="52"/>
      <c r="O1252" s="53" t="s">
        <v>1627</v>
      </c>
      <c r="P1252" s="53" t="s">
        <v>1524</v>
      </c>
      <c r="Q1252" s="52"/>
      <c r="R1252" s="52"/>
      <c r="S1252" s="54"/>
      <c r="T1252" s="52"/>
      <c r="U1252" s="54">
        <f t="shared" si="83"/>
        <v>10714.285714285714</v>
      </c>
      <c r="V1252" s="54">
        <v>12000</v>
      </c>
      <c r="W1252" s="52"/>
      <c r="X1252" s="52">
        <v>2012</v>
      </c>
      <c r="Y1252" s="52"/>
    </row>
    <row r="1253" spans="2:25" s="55" customFormat="1" ht="63.75" outlineLevel="1">
      <c r="B1253" s="52" t="s">
        <v>722</v>
      </c>
      <c r="C1253" s="78" t="s">
        <v>246</v>
      </c>
      <c r="D1253" s="52" t="s">
        <v>339</v>
      </c>
      <c r="E1253" s="56" t="s">
        <v>1534</v>
      </c>
      <c r="F1253" s="56" t="s">
        <v>1527</v>
      </c>
      <c r="G1253" s="56"/>
      <c r="H1253" s="52" t="s">
        <v>243</v>
      </c>
      <c r="I1253" s="52">
        <v>100</v>
      </c>
      <c r="J1253" s="52">
        <v>150000000</v>
      </c>
      <c r="K1253" s="56" t="s">
        <v>126</v>
      </c>
      <c r="L1253" s="53" t="s">
        <v>1627</v>
      </c>
      <c r="M1253" s="56" t="s">
        <v>126</v>
      </c>
      <c r="N1253" s="52"/>
      <c r="O1253" s="53" t="s">
        <v>1627</v>
      </c>
      <c r="P1253" s="53" t="s">
        <v>1524</v>
      </c>
      <c r="Q1253" s="52"/>
      <c r="R1253" s="52"/>
      <c r="S1253" s="54"/>
      <c r="T1253" s="52"/>
      <c r="U1253" s="54">
        <f t="shared" si="83"/>
        <v>10714.285714285714</v>
      </c>
      <c r="V1253" s="54">
        <v>12000</v>
      </c>
      <c r="W1253" s="52"/>
      <c r="X1253" s="52">
        <v>2012</v>
      </c>
      <c r="Y1253" s="52"/>
    </row>
    <row r="1254" spans="2:25" s="55" customFormat="1" ht="63.75" outlineLevel="1">
      <c r="B1254" s="52" t="s">
        <v>723</v>
      </c>
      <c r="C1254" s="78" t="s">
        <v>246</v>
      </c>
      <c r="D1254" s="52" t="s">
        <v>339</v>
      </c>
      <c r="E1254" s="56" t="s">
        <v>1534</v>
      </c>
      <c r="F1254" s="56" t="s">
        <v>1527</v>
      </c>
      <c r="G1254" s="56"/>
      <c r="H1254" s="52" t="s">
        <v>243</v>
      </c>
      <c r="I1254" s="52">
        <v>100</v>
      </c>
      <c r="J1254" s="52">
        <v>190000000</v>
      </c>
      <c r="K1254" s="56" t="s">
        <v>117</v>
      </c>
      <c r="L1254" s="53" t="s">
        <v>1627</v>
      </c>
      <c r="M1254" s="56" t="s">
        <v>117</v>
      </c>
      <c r="N1254" s="52"/>
      <c r="O1254" s="53" t="s">
        <v>1627</v>
      </c>
      <c r="P1254" s="53" t="s">
        <v>1524</v>
      </c>
      <c r="Q1254" s="52"/>
      <c r="R1254" s="52"/>
      <c r="S1254" s="54"/>
      <c r="T1254" s="52"/>
      <c r="U1254" s="54">
        <f t="shared" si="83"/>
        <v>10714.285714285714</v>
      </c>
      <c r="V1254" s="54">
        <v>12000</v>
      </c>
      <c r="W1254" s="52"/>
      <c r="X1254" s="52">
        <v>2012</v>
      </c>
      <c r="Y1254" s="52"/>
    </row>
    <row r="1255" spans="2:25" s="55" customFormat="1" ht="63.75" outlineLevel="1">
      <c r="B1255" s="52" t="s">
        <v>724</v>
      </c>
      <c r="C1255" s="78" t="s">
        <v>246</v>
      </c>
      <c r="D1255" s="52" t="s">
        <v>339</v>
      </c>
      <c r="E1255" s="56" t="s">
        <v>1534</v>
      </c>
      <c r="F1255" s="56" t="s">
        <v>1527</v>
      </c>
      <c r="G1255" s="56"/>
      <c r="H1255" s="52" t="s">
        <v>243</v>
      </c>
      <c r="I1255" s="52">
        <v>100</v>
      </c>
      <c r="J1255" s="52">
        <v>711000000</v>
      </c>
      <c r="K1255" s="56" t="s">
        <v>151</v>
      </c>
      <c r="L1255" s="53" t="s">
        <v>1627</v>
      </c>
      <c r="M1255" s="53" t="s">
        <v>1816</v>
      </c>
      <c r="N1255" s="52"/>
      <c r="O1255" s="53" t="s">
        <v>1627</v>
      </c>
      <c r="P1255" s="53" t="s">
        <v>1524</v>
      </c>
      <c r="Q1255" s="52"/>
      <c r="R1255" s="52"/>
      <c r="S1255" s="54"/>
      <c r="T1255" s="52"/>
      <c r="U1255" s="54">
        <f t="shared" si="83"/>
        <v>10714.285714285714</v>
      </c>
      <c r="V1255" s="54">
        <v>12000</v>
      </c>
      <c r="W1255" s="52"/>
      <c r="X1255" s="52">
        <v>2012</v>
      </c>
      <c r="Y1255" s="52"/>
    </row>
    <row r="1256" spans="2:25" s="55" customFormat="1" ht="63.75" outlineLevel="1">
      <c r="B1256" s="52" t="s">
        <v>725</v>
      </c>
      <c r="C1256" s="78" t="s">
        <v>246</v>
      </c>
      <c r="D1256" s="52" t="s">
        <v>339</v>
      </c>
      <c r="E1256" s="56" t="s">
        <v>1534</v>
      </c>
      <c r="F1256" s="56" t="s">
        <v>1527</v>
      </c>
      <c r="G1256" s="56"/>
      <c r="H1256" s="52" t="s">
        <v>243</v>
      </c>
      <c r="I1256" s="52">
        <v>100</v>
      </c>
      <c r="J1256" s="52">
        <v>751000000</v>
      </c>
      <c r="K1256" s="63" t="s">
        <v>1437</v>
      </c>
      <c r="L1256" s="53" t="s">
        <v>1976</v>
      </c>
      <c r="M1256" s="63" t="s">
        <v>1437</v>
      </c>
      <c r="N1256" s="52"/>
      <c r="O1256" s="53" t="s">
        <v>1976</v>
      </c>
      <c r="P1256" s="53" t="s">
        <v>1524</v>
      </c>
      <c r="Q1256" s="52"/>
      <c r="R1256" s="52"/>
      <c r="S1256" s="54"/>
      <c r="T1256" s="52"/>
      <c r="U1256" s="54">
        <f t="shared" si="83"/>
        <v>10714.285714285714</v>
      </c>
      <c r="V1256" s="54">
        <v>12000</v>
      </c>
      <c r="W1256" s="52"/>
      <c r="X1256" s="52">
        <v>2012</v>
      </c>
      <c r="Y1256" s="52"/>
    </row>
    <row r="1257" spans="2:25" s="55" customFormat="1" ht="63.75" outlineLevel="1">
      <c r="B1257" s="52" t="s">
        <v>726</v>
      </c>
      <c r="C1257" s="78" t="s">
        <v>246</v>
      </c>
      <c r="D1257" s="52" t="s">
        <v>339</v>
      </c>
      <c r="E1257" s="56" t="s">
        <v>1534</v>
      </c>
      <c r="F1257" s="56" t="s">
        <v>1527</v>
      </c>
      <c r="G1257" s="56"/>
      <c r="H1257" s="52" t="s">
        <v>243</v>
      </c>
      <c r="I1257" s="52">
        <v>100</v>
      </c>
      <c r="J1257" s="52">
        <v>230000000</v>
      </c>
      <c r="K1257" s="56" t="s">
        <v>118</v>
      </c>
      <c r="L1257" s="53" t="s">
        <v>1627</v>
      </c>
      <c r="M1257" s="56" t="s">
        <v>118</v>
      </c>
      <c r="N1257" s="52"/>
      <c r="O1257" s="53" t="s">
        <v>1627</v>
      </c>
      <c r="P1257" s="53" t="s">
        <v>1524</v>
      </c>
      <c r="Q1257" s="52"/>
      <c r="R1257" s="52"/>
      <c r="S1257" s="54"/>
      <c r="T1257" s="52"/>
      <c r="U1257" s="54">
        <f t="shared" si="83"/>
        <v>10714.285714285714</v>
      </c>
      <c r="V1257" s="54">
        <v>12000</v>
      </c>
      <c r="W1257" s="52"/>
      <c r="X1257" s="52">
        <v>2012</v>
      </c>
      <c r="Y1257" s="52"/>
    </row>
    <row r="1258" spans="2:25" s="55" customFormat="1" ht="63.75" outlineLevel="1">
      <c r="B1258" s="52" t="s">
        <v>727</v>
      </c>
      <c r="C1258" s="78" t="s">
        <v>246</v>
      </c>
      <c r="D1258" s="52" t="s">
        <v>339</v>
      </c>
      <c r="E1258" s="56" t="s">
        <v>1534</v>
      </c>
      <c r="F1258" s="56" t="s">
        <v>1527</v>
      </c>
      <c r="G1258" s="56"/>
      <c r="H1258" s="52" t="s">
        <v>243</v>
      </c>
      <c r="I1258" s="52">
        <v>100</v>
      </c>
      <c r="J1258" s="52">
        <v>630000000</v>
      </c>
      <c r="K1258" s="56" t="s">
        <v>97</v>
      </c>
      <c r="L1258" s="53" t="s">
        <v>1627</v>
      </c>
      <c r="M1258" s="56" t="s">
        <v>97</v>
      </c>
      <c r="N1258" s="52"/>
      <c r="O1258" s="53" t="s">
        <v>1627</v>
      </c>
      <c r="P1258" s="53" t="s">
        <v>1524</v>
      </c>
      <c r="Q1258" s="52"/>
      <c r="R1258" s="52"/>
      <c r="S1258" s="54"/>
      <c r="T1258" s="52"/>
      <c r="U1258" s="54">
        <f t="shared" si="83"/>
        <v>10714.285714285714</v>
      </c>
      <c r="V1258" s="54">
        <v>12000</v>
      </c>
      <c r="W1258" s="52"/>
      <c r="X1258" s="52">
        <v>2012</v>
      </c>
      <c r="Y1258" s="52"/>
    </row>
    <row r="1259" spans="2:25" s="55" customFormat="1" ht="63.75" outlineLevel="1">
      <c r="B1259" s="52" t="s">
        <v>728</v>
      </c>
      <c r="C1259" s="78" t="s">
        <v>246</v>
      </c>
      <c r="D1259" s="52" t="s">
        <v>339</v>
      </c>
      <c r="E1259" s="56" t="s">
        <v>1534</v>
      </c>
      <c r="F1259" s="56" t="s">
        <v>1527</v>
      </c>
      <c r="G1259" s="56"/>
      <c r="H1259" s="52" t="s">
        <v>243</v>
      </c>
      <c r="I1259" s="52">
        <v>100</v>
      </c>
      <c r="J1259" s="52">
        <v>310000000</v>
      </c>
      <c r="K1259" s="56" t="s">
        <v>119</v>
      </c>
      <c r="L1259" s="53" t="s">
        <v>1627</v>
      </c>
      <c r="M1259" s="56" t="s">
        <v>119</v>
      </c>
      <c r="N1259" s="52"/>
      <c r="O1259" s="53" t="s">
        <v>2180</v>
      </c>
      <c r="P1259" s="53" t="s">
        <v>1524</v>
      </c>
      <c r="Q1259" s="52"/>
      <c r="R1259" s="52"/>
      <c r="S1259" s="54"/>
      <c r="T1259" s="52"/>
      <c r="U1259" s="54">
        <f t="shared" si="83"/>
        <v>10714.285714285714</v>
      </c>
      <c r="V1259" s="54">
        <v>12000</v>
      </c>
      <c r="W1259" s="52"/>
      <c r="X1259" s="52">
        <v>2012</v>
      </c>
      <c r="Y1259" s="52"/>
    </row>
    <row r="1260" spans="2:25" s="55" customFormat="1" ht="63.75" outlineLevel="1">
      <c r="B1260" s="52" t="s">
        <v>729</v>
      </c>
      <c r="C1260" s="78" t="s">
        <v>246</v>
      </c>
      <c r="D1260" s="52" t="s">
        <v>339</v>
      </c>
      <c r="E1260" s="56" t="s">
        <v>1534</v>
      </c>
      <c r="F1260" s="56" t="s">
        <v>1527</v>
      </c>
      <c r="G1260" s="56"/>
      <c r="H1260" s="52" t="s">
        <v>243</v>
      </c>
      <c r="I1260" s="52">
        <v>100</v>
      </c>
      <c r="J1260" s="52">
        <v>270000000</v>
      </c>
      <c r="K1260" s="56" t="s">
        <v>98</v>
      </c>
      <c r="L1260" s="53" t="s">
        <v>1627</v>
      </c>
      <c r="M1260" s="56" t="s">
        <v>98</v>
      </c>
      <c r="N1260" s="52"/>
      <c r="O1260" s="53" t="s">
        <v>1627</v>
      </c>
      <c r="P1260" s="53" t="s">
        <v>1524</v>
      </c>
      <c r="Q1260" s="52"/>
      <c r="R1260" s="52"/>
      <c r="S1260" s="54"/>
      <c r="T1260" s="52"/>
      <c r="U1260" s="54">
        <f t="shared" si="83"/>
        <v>10714.285714285714</v>
      </c>
      <c r="V1260" s="54">
        <v>12000</v>
      </c>
      <c r="W1260" s="52"/>
      <c r="X1260" s="52">
        <v>2012</v>
      </c>
      <c r="Y1260" s="52"/>
    </row>
    <row r="1261" spans="2:25" s="55" customFormat="1" ht="63.75" outlineLevel="1">
      <c r="B1261" s="52" t="s">
        <v>730</v>
      </c>
      <c r="C1261" s="78" t="s">
        <v>246</v>
      </c>
      <c r="D1261" s="52" t="s">
        <v>339</v>
      </c>
      <c r="E1261" s="56" t="s">
        <v>1534</v>
      </c>
      <c r="F1261" s="56" t="s">
        <v>1527</v>
      </c>
      <c r="G1261" s="56"/>
      <c r="H1261" s="52" t="s">
        <v>243</v>
      </c>
      <c r="I1261" s="52">
        <v>100</v>
      </c>
      <c r="J1261" s="52">
        <v>350000000</v>
      </c>
      <c r="K1261" s="56" t="s">
        <v>120</v>
      </c>
      <c r="L1261" s="53" t="s">
        <v>1627</v>
      </c>
      <c r="M1261" s="56" t="s">
        <v>120</v>
      </c>
      <c r="N1261" s="52"/>
      <c r="O1261" s="53" t="s">
        <v>1627</v>
      </c>
      <c r="P1261" s="53" t="s">
        <v>1524</v>
      </c>
      <c r="Q1261" s="52"/>
      <c r="R1261" s="52"/>
      <c r="S1261" s="54"/>
      <c r="T1261" s="52"/>
      <c r="U1261" s="54">
        <f t="shared" si="83"/>
        <v>10714.285714285714</v>
      </c>
      <c r="V1261" s="54">
        <v>12000</v>
      </c>
      <c r="W1261" s="52"/>
      <c r="X1261" s="52">
        <v>2012</v>
      </c>
      <c r="Y1261" s="52"/>
    </row>
    <row r="1262" spans="2:25" s="55" customFormat="1" ht="76.5" outlineLevel="1">
      <c r="B1262" s="52" t="s">
        <v>731</v>
      </c>
      <c r="C1262" s="78" t="s">
        <v>246</v>
      </c>
      <c r="D1262" s="52" t="s">
        <v>339</v>
      </c>
      <c r="E1262" s="56" t="s">
        <v>1534</v>
      </c>
      <c r="F1262" s="56" t="s">
        <v>1527</v>
      </c>
      <c r="G1262" s="56"/>
      <c r="H1262" s="52" t="s">
        <v>243</v>
      </c>
      <c r="I1262" s="52">
        <v>100</v>
      </c>
      <c r="J1262" s="52">
        <v>390000000</v>
      </c>
      <c r="K1262" s="56" t="s">
        <v>121</v>
      </c>
      <c r="L1262" s="53" t="s">
        <v>2183</v>
      </c>
      <c r="M1262" s="56" t="s">
        <v>121</v>
      </c>
      <c r="N1262" s="52"/>
      <c r="O1262" s="53" t="s">
        <v>2183</v>
      </c>
      <c r="P1262" s="53" t="s">
        <v>1524</v>
      </c>
      <c r="Q1262" s="52"/>
      <c r="R1262" s="52"/>
      <c r="S1262" s="54"/>
      <c r="T1262" s="52"/>
      <c r="U1262" s="54">
        <f t="shared" si="83"/>
        <v>10714.285714285714</v>
      </c>
      <c r="V1262" s="54">
        <v>12000</v>
      </c>
      <c r="W1262" s="52"/>
      <c r="X1262" s="52">
        <v>2012</v>
      </c>
      <c r="Y1262" s="52"/>
    </row>
    <row r="1263" spans="2:25" s="55" customFormat="1" ht="63.75" outlineLevel="1">
      <c r="B1263" s="52" t="s">
        <v>1670</v>
      </c>
      <c r="C1263" s="78" t="s">
        <v>246</v>
      </c>
      <c r="D1263" s="52" t="s">
        <v>339</v>
      </c>
      <c r="E1263" s="56" t="s">
        <v>1534</v>
      </c>
      <c r="F1263" s="56" t="s">
        <v>1527</v>
      </c>
      <c r="G1263" s="56"/>
      <c r="H1263" s="52" t="s">
        <v>243</v>
      </c>
      <c r="I1263" s="52">
        <v>100</v>
      </c>
      <c r="J1263" s="52">
        <v>430000000</v>
      </c>
      <c r="K1263" s="56" t="s">
        <v>122</v>
      </c>
      <c r="L1263" s="53" t="s">
        <v>1627</v>
      </c>
      <c r="M1263" s="56" t="s">
        <v>122</v>
      </c>
      <c r="N1263" s="52"/>
      <c r="O1263" s="53" t="s">
        <v>1627</v>
      </c>
      <c r="P1263" s="53" t="s">
        <v>1524</v>
      </c>
      <c r="Q1263" s="52"/>
      <c r="R1263" s="52"/>
      <c r="S1263" s="54"/>
      <c r="T1263" s="52"/>
      <c r="U1263" s="54">
        <f t="shared" si="83"/>
        <v>10714.285714285714</v>
      </c>
      <c r="V1263" s="54">
        <v>12000</v>
      </c>
      <c r="W1263" s="52"/>
      <c r="X1263" s="52">
        <v>2012</v>
      </c>
      <c r="Y1263" s="52"/>
    </row>
    <row r="1264" spans="2:25" s="55" customFormat="1" ht="63.75" outlineLevel="1">
      <c r="B1264" s="52" t="s">
        <v>732</v>
      </c>
      <c r="C1264" s="78" t="s">
        <v>246</v>
      </c>
      <c r="D1264" s="52" t="s">
        <v>339</v>
      </c>
      <c r="E1264" s="56" t="s">
        <v>1534</v>
      </c>
      <c r="F1264" s="56" t="s">
        <v>1527</v>
      </c>
      <c r="G1264" s="56"/>
      <c r="H1264" s="52" t="s">
        <v>243</v>
      </c>
      <c r="I1264" s="52">
        <v>100</v>
      </c>
      <c r="J1264" s="52">
        <v>470000000</v>
      </c>
      <c r="K1264" s="56" t="s">
        <v>123</v>
      </c>
      <c r="L1264" s="53" t="s">
        <v>1627</v>
      </c>
      <c r="M1264" s="56" t="s">
        <v>123</v>
      </c>
      <c r="N1264" s="52"/>
      <c r="O1264" s="53" t="s">
        <v>1627</v>
      </c>
      <c r="P1264" s="53" t="s">
        <v>1524</v>
      </c>
      <c r="Q1264" s="52"/>
      <c r="R1264" s="52"/>
      <c r="S1264" s="54"/>
      <c r="T1264" s="52"/>
      <c r="U1264" s="54">
        <f t="shared" si="83"/>
        <v>10714.285714285714</v>
      </c>
      <c r="V1264" s="54">
        <v>12000</v>
      </c>
      <c r="W1264" s="52"/>
      <c r="X1264" s="52">
        <v>2012</v>
      </c>
      <c r="Y1264" s="52"/>
    </row>
    <row r="1265" spans="2:25" s="55" customFormat="1" ht="63.75" outlineLevel="1">
      <c r="B1265" s="52" t="s">
        <v>733</v>
      </c>
      <c r="C1265" s="78" t="s">
        <v>246</v>
      </c>
      <c r="D1265" s="52" t="s">
        <v>339</v>
      </c>
      <c r="E1265" s="56" t="s">
        <v>1534</v>
      </c>
      <c r="F1265" s="56" t="s">
        <v>1527</v>
      </c>
      <c r="G1265" s="56"/>
      <c r="H1265" s="52" t="s">
        <v>243</v>
      </c>
      <c r="I1265" s="52">
        <v>100</v>
      </c>
      <c r="J1265" s="52">
        <v>550000000</v>
      </c>
      <c r="K1265" s="56" t="s">
        <v>124</v>
      </c>
      <c r="L1265" s="53" t="s">
        <v>1627</v>
      </c>
      <c r="M1265" s="56" t="s">
        <v>124</v>
      </c>
      <c r="N1265" s="52"/>
      <c r="O1265" s="53" t="s">
        <v>1627</v>
      </c>
      <c r="P1265" s="53" t="s">
        <v>1524</v>
      </c>
      <c r="Q1265" s="52"/>
      <c r="R1265" s="52"/>
      <c r="S1265" s="54"/>
      <c r="T1265" s="52"/>
      <c r="U1265" s="54">
        <f t="shared" si="83"/>
        <v>10714.285714285714</v>
      </c>
      <c r="V1265" s="54">
        <v>12000</v>
      </c>
      <c r="W1265" s="52"/>
      <c r="X1265" s="52">
        <v>2012</v>
      </c>
      <c r="Y1265" s="52"/>
    </row>
    <row r="1266" spans="2:25" s="55" customFormat="1" ht="63.75" outlineLevel="1">
      <c r="B1266" s="52" t="s">
        <v>734</v>
      </c>
      <c r="C1266" s="78" t="s">
        <v>246</v>
      </c>
      <c r="D1266" s="52" t="s">
        <v>339</v>
      </c>
      <c r="E1266" s="56" t="s">
        <v>1534</v>
      </c>
      <c r="F1266" s="56" t="s">
        <v>1527</v>
      </c>
      <c r="G1266" s="56"/>
      <c r="H1266" s="52" t="s">
        <v>243</v>
      </c>
      <c r="I1266" s="52">
        <v>100</v>
      </c>
      <c r="J1266" s="52">
        <v>590000000</v>
      </c>
      <c r="K1266" s="56" t="s">
        <v>103</v>
      </c>
      <c r="L1266" s="53" t="s">
        <v>1627</v>
      </c>
      <c r="M1266" s="56" t="s">
        <v>103</v>
      </c>
      <c r="N1266" s="52"/>
      <c r="O1266" s="53" t="s">
        <v>1627</v>
      </c>
      <c r="P1266" s="53" t="s">
        <v>1524</v>
      </c>
      <c r="Q1266" s="52"/>
      <c r="R1266" s="52"/>
      <c r="S1266" s="54"/>
      <c r="T1266" s="52"/>
      <c r="U1266" s="54">
        <f t="shared" si="83"/>
        <v>10714.285714285714</v>
      </c>
      <c r="V1266" s="54">
        <v>12000</v>
      </c>
      <c r="W1266" s="52"/>
      <c r="X1266" s="52">
        <v>2012</v>
      </c>
      <c r="Y1266" s="52"/>
    </row>
    <row r="1267" spans="2:25" s="55" customFormat="1" ht="63.75" outlineLevel="1">
      <c r="B1267" s="52" t="s">
        <v>735</v>
      </c>
      <c r="C1267" s="78" t="s">
        <v>246</v>
      </c>
      <c r="D1267" s="52" t="s">
        <v>339</v>
      </c>
      <c r="E1267" s="56" t="s">
        <v>1534</v>
      </c>
      <c r="F1267" s="56" t="s">
        <v>1527</v>
      </c>
      <c r="G1267" s="56"/>
      <c r="H1267" s="52" t="s">
        <v>243</v>
      </c>
      <c r="I1267" s="52">
        <v>100</v>
      </c>
      <c r="J1267" s="52">
        <v>510000000</v>
      </c>
      <c r="K1267" s="63" t="s">
        <v>104</v>
      </c>
      <c r="L1267" s="53" t="s">
        <v>1627</v>
      </c>
      <c r="M1267" s="63" t="s">
        <v>104</v>
      </c>
      <c r="N1267" s="52"/>
      <c r="O1267" s="53" t="s">
        <v>1627</v>
      </c>
      <c r="P1267" s="53" t="s">
        <v>1524</v>
      </c>
      <c r="Q1267" s="52"/>
      <c r="R1267" s="52"/>
      <c r="S1267" s="54"/>
      <c r="T1267" s="52"/>
      <c r="U1267" s="54">
        <f t="shared" si="83"/>
        <v>10714.285714285714</v>
      </c>
      <c r="V1267" s="54">
        <v>12000</v>
      </c>
      <c r="W1267" s="52"/>
      <c r="X1267" s="52">
        <v>2012</v>
      </c>
      <c r="Y1267" s="52"/>
    </row>
    <row r="1268" spans="2:25" s="55" customFormat="1" ht="127.5" outlineLevel="1">
      <c r="B1268" s="52" t="s">
        <v>736</v>
      </c>
      <c r="C1268" s="78" t="s">
        <v>246</v>
      </c>
      <c r="D1268" s="52" t="s">
        <v>299</v>
      </c>
      <c r="E1268" s="56" t="s">
        <v>192</v>
      </c>
      <c r="F1268" s="56" t="s">
        <v>1528</v>
      </c>
      <c r="G1268" s="56"/>
      <c r="H1268" s="52" t="s">
        <v>242</v>
      </c>
      <c r="I1268" s="52">
        <v>50</v>
      </c>
      <c r="J1268" s="52">
        <v>751000000</v>
      </c>
      <c r="K1268" s="53" t="s">
        <v>2290</v>
      </c>
      <c r="L1268" s="52" t="s">
        <v>1463</v>
      </c>
      <c r="M1268" s="53" t="s">
        <v>2290</v>
      </c>
      <c r="N1268" s="52"/>
      <c r="O1268" s="53" t="s">
        <v>2928</v>
      </c>
      <c r="P1268" s="53" t="s">
        <v>1475</v>
      </c>
      <c r="Q1268" s="52"/>
      <c r="R1268" s="52"/>
      <c r="S1268" s="54"/>
      <c r="T1268" s="52"/>
      <c r="U1268" s="54">
        <f t="shared" si="83"/>
        <v>12500000</v>
      </c>
      <c r="V1268" s="54">
        <v>14000000</v>
      </c>
      <c r="W1268" s="52"/>
      <c r="X1268" s="52">
        <v>2012</v>
      </c>
      <c r="Y1268" s="52"/>
    </row>
    <row r="1269" spans="2:25" s="55" customFormat="1" ht="51" outlineLevel="1">
      <c r="B1269" s="52" t="s">
        <v>737</v>
      </c>
      <c r="C1269" s="78" t="s">
        <v>246</v>
      </c>
      <c r="D1269" s="52" t="s">
        <v>1677</v>
      </c>
      <c r="E1269" s="56" t="s">
        <v>193</v>
      </c>
      <c r="F1269" s="56" t="s">
        <v>1530</v>
      </c>
      <c r="G1269" s="56"/>
      <c r="H1269" s="52" t="s">
        <v>243</v>
      </c>
      <c r="I1269" s="52">
        <v>80</v>
      </c>
      <c r="J1269" s="52">
        <v>751000000</v>
      </c>
      <c r="K1269" s="53" t="s">
        <v>2290</v>
      </c>
      <c r="L1269" s="52" t="s">
        <v>1503</v>
      </c>
      <c r="M1269" s="53" t="s">
        <v>2290</v>
      </c>
      <c r="N1269" s="52"/>
      <c r="O1269" s="53" t="s">
        <v>2176</v>
      </c>
      <c r="P1269" s="53" t="s">
        <v>1524</v>
      </c>
      <c r="Q1269" s="52"/>
      <c r="R1269" s="52"/>
      <c r="S1269" s="54"/>
      <c r="T1269" s="52"/>
      <c r="U1269" s="54">
        <f t="shared" ref="U1269" si="85">V1269/112*100</f>
        <v>1122271.6339285714</v>
      </c>
      <c r="V1269" s="54">
        <f>[9]подписка!$G$53</f>
        <v>1256944.2299999997</v>
      </c>
      <c r="W1269" s="52"/>
      <c r="X1269" s="52">
        <v>2012</v>
      </c>
      <c r="Y1269" s="52"/>
    </row>
    <row r="1270" spans="2:25" s="55" customFormat="1" ht="51" outlineLevel="1">
      <c r="B1270" s="52" t="s">
        <v>738</v>
      </c>
      <c r="C1270" s="78" t="s">
        <v>246</v>
      </c>
      <c r="D1270" s="52" t="s">
        <v>300</v>
      </c>
      <c r="E1270" s="56" t="s">
        <v>194</v>
      </c>
      <c r="F1270" s="56" t="s">
        <v>1531</v>
      </c>
      <c r="G1270" s="56"/>
      <c r="H1270" s="52" t="s">
        <v>243</v>
      </c>
      <c r="I1270" s="52">
        <v>100</v>
      </c>
      <c r="J1270" s="52">
        <v>751000000</v>
      </c>
      <c r="K1270" s="53" t="s">
        <v>2290</v>
      </c>
      <c r="L1270" s="53" t="s">
        <v>1627</v>
      </c>
      <c r="M1270" s="53" t="s">
        <v>2290</v>
      </c>
      <c r="N1270" s="52" t="s">
        <v>1754</v>
      </c>
      <c r="O1270" s="53" t="s">
        <v>1627</v>
      </c>
      <c r="P1270" s="53" t="s">
        <v>1524</v>
      </c>
      <c r="Q1270" s="52"/>
      <c r="R1270" s="52"/>
      <c r="S1270" s="54"/>
      <c r="T1270" s="52"/>
      <c r="U1270" s="54">
        <f t="shared" si="83"/>
        <v>1339285.7142857143</v>
      </c>
      <c r="V1270" s="54">
        <f>'[1]Прочие услуги'!$B$19</f>
        <v>1500000</v>
      </c>
      <c r="W1270" s="52"/>
      <c r="X1270" s="52">
        <v>2012</v>
      </c>
      <c r="Y1270" s="52"/>
    </row>
    <row r="1271" spans="2:25" s="55" customFormat="1" ht="105.75" customHeight="1" outlineLevel="1">
      <c r="B1271" s="52" t="s">
        <v>739</v>
      </c>
      <c r="C1271" s="78" t="s">
        <v>246</v>
      </c>
      <c r="D1271" s="52" t="s">
        <v>301</v>
      </c>
      <c r="E1271" s="56" t="s">
        <v>2447</v>
      </c>
      <c r="F1271" s="70" t="s">
        <v>2448</v>
      </c>
      <c r="G1271" s="56"/>
      <c r="H1271" s="52" t="s">
        <v>243</v>
      </c>
      <c r="I1271" s="52">
        <v>100</v>
      </c>
      <c r="J1271" s="52">
        <v>751000000</v>
      </c>
      <c r="K1271" s="53" t="s">
        <v>2290</v>
      </c>
      <c r="L1271" s="53" t="s">
        <v>1503</v>
      </c>
      <c r="M1271" s="53" t="s">
        <v>2290</v>
      </c>
      <c r="N1271" s="52"/>
      <c r="O1271" s="53" t="s">
        <v>2176</v>
      </c>
      <c r="P1271" s="53" t="s">
        <v>2449</v>
      </c>
      <c r="Q1271" s="52"/>
      <c r="R1271" s="52"/>
      <c r="S1271" s="54"/>
      <c r="T1271" s="52"/>
      <c r="U1271" s="54">
        <f t="shared" si="83"/>
        <v>0</v>
      </c>
      <c r="V1271" s="54">
        <v>0</v>
      </c>
      <c r="W1271" s="52"/>
      <c r="X1271" s="52">
        <v>2012</v>
      </c>
      <c r="Y1271" s="52">
        <v>11</v>
      </c>
    </row>
    <row r="1272" spans="2:25" s="55" customFormat="1" ht="105.75" customHeight="1" outlineLevel="1">
      <c r="B1272" s="52" t="s">
        <v>2681</v>
      </c>
      <c r="C1272" s="78" t="s">
        <v>246</v>
      </c>
      <c r="D1272" s="52" t="s">
        <v>301</v>
      </c>
      <c r="E1272" s="56" t="s">
        <v>2447</v>
      </c>
      <c r="F1272" s="56" t="s">
        <v>2448</v>
      </c>
      <c r="G1272" s="56"/>
      <c r="H1272" s="52" t="s">
        <v>243</v>
      </c>
      <c r="I1272" s="52">
        <v>100</v>
      </c>
      <c r="J1272" s="52">
        <v>751000000</v>
      </c>
      <c r="K1272" s="53" t="s">
        <v>2290</v>
      </c>
      <c r="L1272" s="53" t="s">
        <v>1548</v>
      </c>
      <c r="M1272" s="53" t="s">
        <v>2290</v>
      </c>
      <c r="N1272" s="52"/>
      <c r="O1272" s="53" t="s">
        <v>2176</v>
      </c>
      <c r="P1272" s="53" t="s">
        <v>2449</v>
      </c>
      <c r="Q1272" s="52"/>
      <c r="R1272" s="52"/>
      <c r="S1272" s="54"/>
      <c r="T1272" s="52"/>
      <c r="U1272" s="54">
        <f t="shared" si="83"/>
        <v>10714285.714285715</v>
      </c>
      <c r="V1272" s="54">
        <v>12000000</v>
      </c>
      <c r="W1272" s="52"/>
      <c r="X1272" s="52">
        <v>2012</v>
      </c>
      <c r="Y1272" s="52"/>
    </row>
    <row r="1273" spans="2:25" s="55" customFormat="1" ht="51" outlineLevel="1">
      <c r="B1273" s="52" t="s">
        <v>740</v>
      </c>
      <c r="C1273" s="78" t="s">
        <v>246</v>
      </c>
      <c r="D1273" s="52" t="s">
        <v>302</v>
      </c>
      <c r="E1273" s="56" t="s">
        <v>195</v>
      </c>
      <c r="F1273" s="56" t="s">
        <v>1529</v>
      </c>
      <c r="G1273" s="56"/>
      <c r="H1273" s="52" t="s">
        <v>243</v>
      </c>
      <c r="I1273" s="52">
        <v>50</v>
      </c>
      <c r="J1273" s="52">
        <v>751000000</v>
      </c>
      <c r="K1273" s="53" t="s">
        <v>2290</v>
      </c>
      <c r="L1273" s="53" t="s">
        <v>1627</v>
      </c>
      <c r="M1273" s="53" t="s">
        <v>2290</v>
      </c>
      <c r="N1273" s="52"/>
      <c r="O1273" s="53" t="s">
        <v>1627</v>
      </c>
      <c r="P1273" s="53" t="s">
        <v>1524</v>
      </c>
      <c r="Q1273" s="52"/>
      <c r="R1273" s="52"/>
      <c r="S1273" s="54"/>
      <c r="T1273" s="52"/>
      <c r="U1273" s="54">
        <f t="shared" si="83"/>
        <v>192053.57142857142</v>
      </c>
      <c r="V1273" s="54">
        <f>[1]консульт!$D$3</f>
        <v>215100</v>
      </c>
      <c r="W1273" s="52"/>
      <c r="X1273" s="52">
        <v>2012</v>
      </c>
      <c r="Y1273" s="52"/>
    </row>
    <row r="1274" spans="2:25" s="55" customFormat="1" ht="51" outlineLevel="1">
      <c r="B1274" s="52" t="s">
        <v>741</v>
      </c>
      <c r="C1274" s="78" t="s">
        <v>246</v>
      </c>
      <c r="D1274" s="52" t="s">
        <v>300</v>
      </c>
      <c r="E1274" s="56" t="s">
        <v>226</v>
      </c>
      <c r="F1274" s="56" t="s">
        <v>1531</v>
      </c>
      <c r="G1274" s="56"/>
      <c r="H1274" s="52" t="s">
        <v>243</v>
      </c>
      <c r="I1274" s="52">
        <v>100</v>
      </c>
      <c r="J1274" s="52">
        <v>110000000</v>
      </c>
      <c r="K1274" s="56" t="s">
        <v>125</v>
      </c>
      <c r="L1274" s="53" t="s">
        <v>1627</v>
      </c>
      <c r="M1274" s="56" t="s">
        <v>125</v>
      </c>
      <c r="N1274" s="52"/>
      <c r="O1274" s="53" t="s">
        <v>1627</v>
      </c>
      <c r="P1274" s="53" t="s">
        <v>1524</v>
      </c>
      <c r="Q1274" s="52"/>
      <c r="R1274" s="52"/>
      <c r="S1274" s="54"/>
      <c r="T1274" s="52"/>
      <c r="U1274" s="54">
        <f t="shared" si="83"/>
        <v>107142.85714285713</v>
      </c>
      <c r="V1274" s="54">
        <v>120000</v>
      </c>
      <c r="W1274" s="52"/>
      <c r="X1274" s="52">
        <v>2012</v>
      </c>
      <c r="Y1274" s="52"/>
    </row>
    <row r="1275" spans="2:25" s="55" customFormat="1" ht="51" outlineLevel="1">
      <c r="B1275" s="52" t="s">
        <v>742</v>
      </c>
      <c r="C1275" s="78" t="s">
        <v>246</v>
      </c>
      <c r="D1275" s="52" t="s">
        <v>300</v>
      </c>
      <c r="E1275" s="56" t="s">
        <v>226</v>
      </c>
      <c r="F1275" s="56" t="s">
        <v>1531</v>
      </c>
      <c r="G1275" s="56"/>
      <c r="H1275" s="52" t="s">
        <v>243</v>
      </c>
      <c r="I1275" s="52">
        <v>100</v>
      </c>
      <c r="J1275" s="52">
        <v>150000000</v>
      </c>
      <c r="K1275" s="56" t="s">
        <v>126</v>
      </c>
      <c r="L1275" s="53" t="s">
        <v>1627</v>
      </c>
      <c r="M1275" s="56" t="s">
        <v>126</v>
      </c>
      <c r="N1275" s="52"/>
      <c r="O1275" s="53" t="s">
        <v>1627</v>
      </c>
      <c r="P1275" s="53" t="s">
        <v>1524</v>
      </c>
      <c r="Q1275" s="52"/>
      <c r="R1275" s="52"/>
      <c r="S1275" s="54"/>
      <c r="T1275" s="52"/>
      <c r="U1275" s="54">
        <f t="shared" si="83"/>
        <v>107142.85714285713</v>
      </c>
      <c r="V1275" s="54">
        <v>120000</v>
      </c>
      <c r="W1275" s="52"/>
      <c r="X1275" s="52">
        <v>2012</v>
      </c>
      <c r="Y1275" s="52"/>
    </row>
    <row r="1276" spans="2:25" s="55" customFormat="1" ht="51" outlineLevel="1">
      <c r="B1276" s="52" t="s">
        <v>743</v>
      </c>
      <c r="C1276" s="78" t="s">
        <v>246</v>
      </c>
      <c r="D1276" s="52" t="s">
        <v>300</v>
      </c>
      <c r="E1276" s="56" t="s">
        <v>226</v>
      </c>
      <c r="F1276" s="56" t="s">
        <v>1531</v>
      </c>
      <c r="G1276" s="56"/>
      <c r="H1276" s="52" t="s">
        <v>243</v>
      </c>
      <c r="I1276" s="52">
        <v>100</v>
      </c>
      <c r="J1276" s="52">
        <v>190000000</v>
      </c>
      <c r="K1276" s="56" t="s">
        <v>117</v>
      </c>
      <c r="L1276" s="53" t="s">
        <v>1627</v>
      </c>
      <c r="M1276" s="56" t="s">
        <v>117</v>
      </c>
      <c r="N1276" s="52"/>
      <c r="O1276" s="53" t="s">
        <v>1627</v>
      </c>
      <c r="P1276" s="53" t="s">
        <v>1524</v>
      </c>
      <c r="Q1276" s="52"/>
      <c r="R1276" s="52"/>
      <c r="S1276" s="54"/>
      <c r="T1276" s="52"/>
      <c r="U1276" s="54">
        <f t="shared" si="83"/>
        <v>107142.85714285713</v>
      </c>
      <c r="V1276" s="54">
        <v>120000</v>
      </c>
      <c r="W1276" s="52"/>
      <c r="X1276" s="52">
        <v>2012</v>
      </c>
      <c r="Y1276" s="52"/>
    </row>
    <row r="1277" spans="2:25" s="55" customFormat="1" ht="51" outlineLevel="1">
      <c r="B1277" s="52" t="s">
        <v>744</v>
      </c>
      <c r="C1277" s="78" t="s">
        <v>246</v>
      </c>
      <c r="D1277" s="52" t="s">
        <v>300</v>
      </c>
      <c r="E1277" s="56" t="s">
        <v>226</v>
      </c>
      <c r="F1277" s="56" t="s">
        <v>1531</v>
      </c>
      <c r="G1277" s="56"/>
      <c r="H1277" s="52" t="s">
        <v>243</v>
      </c>
      <c r="I1277" s="52">
        <v>100</v>
      </c>
      <c r="J1277" s="52">
        <v>711000000</v>
      </c>
      <c r="K1277" s="56" t="s">
        <v>151</v>
      </c>
      <c r="L1277" s="53" t="s">
        <v>1627</v>
      </c>
      <c r="M1277" s="53" t="s">
        <v>1816</v>
      </c>
      <c r="N1277" s="52" t="s">
        <v>1754</v>
      </c>
      <c r="O1277" s="53" t="s">
        <v>1627</v>
      </c>
      <c r="P1277" s="53" t="s">
        <v>1524</v>
      </c>
      <c r="Q1277" s="52"/>
      <c r="R1277" s="52"/>
      <c r="S1277" s="54"/>
      <c r="T1277" s="52"/>
      <c r="U1277" s="54">
        <f t="shared" si="83"/>
        <v>267857.14285714284</v>
      </c>
      <c r="V1277" s="54">
        <v>300000</v>
      </c>
      <c r="W1277" s="52"/>
      <c r="X1277" s="52">
        <v>2012</v>
      </c>
      <c r="Y1277" s="52"/>
    </row>
    <row r="1278" spans="2:25" s="55" customFormat="1" ht="51" outlineLevel="1">
      <c r="B1278" s="52" t="s">
        <v>745</v>
      </c>
      <c r="C1278" s="78" t="s">
        <v>246</v>
      </c>
      <c r="D1278" s="52" t="s">
        <v>300</v>
      </c>
      <c r="E1278" s="56" t="s">
        <v>226</v>
      </c>
      <c r="F1278" s="56" t="s">
        <v>1531</v>
      </c>
      <c r="G1278" s="56"/>
      <c r="H1278" s="52" t="s">
        <v>243</v>
      </c>
      <c r="I1278" s="52">
        <v>100</v>
      </c>
      <c r="J1278" s="52">
        <v>751000000</v>
      </c>
      <c r="K1278" s="56" t="s">
        <v>1437</v>
      </c>
      <c r="L1278" s="53" t="s">
        <v>1976</v>
      </c>
      <c r="M1278" s="56" t="s">
        <v>1437</v>
      </c>
      <c r="N1278" s="52"/>
      <c r="O1278" s="53" t="s">
        <v>1976</v>
      </c>
      <c r="P1278" s="53" t="s">
        <v>1524</v>
      </c>
      <c r="Q1278" s="52"/>
      <c r="R1278" s="52"/>
      <c r="S1278" s="54"/>
      <c r="T1278" s="52"/>
      <c r="U1278" s="54">
        <f t="shared" si="83"/>
        <v>267857.14285714284</v>
      </c>
      <c r="V1278" s="54">
        <v>300000</v>
      </c>
      <c r="W1278" s="52"/>
      <c r="X1278" s="52">
        <v>2012</v>
      </c>
      <c r="Y1278" s="52"/>
    </row>
    <row r="1279" spans="2:25" s="55" customFormat="1" ht="51" outlineLevel="1">
      <c r="B1279" s="52" t="s">
        <v>746</v>
      </c>
      <c r="C1279" s="78" t="s">
        <v>246</v>
      </c>
      <c r="D1279" s="52" t="s">
        <v>300</v>
      </c>
      <c r="E1279" s="56" t="s">
        <v>226</v>
      </c>
      <c r="F1279" s="56" t="s">
        <v>1531</v>
      </c>
      <c r="G1279" s="56"/>
      <c r="H1279" s="52" t="s">
        <v>243</v>
      </c>
      <c r="I1279" s="52">
        <v>100</v>
      </c>
      <c r="J1279" s="52">
        <v>230000000</v>
      </c>
      <c r="K1279" s="56" t="s">
        <v>118</v>
      </c>
      <c r="L1279" s="53" t="s">
        <v>1627</v>
      </c>
      <c r="M1279" s="56" t="s">
        <v>118</v>
      </c>
      <c r="N1279" s="52"/>
      <c r="O1279" s="53" t="s">
        <v>1627</v>
      </c>
      <c r="P1279" s="53" t="s">
        <v>1524</v>
      </c>
      <c r="Q1279" s="52"/>
      <c r="R1279" s="52"/>
      <c r="S1279" s="54"/>
      <c r="T1279" s="52"/>
      <c r="U1279" s="54">
        <f t="shared" si="83"/>
        <v>107142.85714285713</v>
      </c>
      <c r="V1279" s="54">
        <v>120000</v>
      </c>
      <c r="W1279" s="52"/>
      <c r="X1279" s="52">
        <v>2012</v>
      </c>
      <c r="Y1279" s="52"/>
    </row>
    <row r="1280" spans="2:25" s="55" customFormat="1" ht="51" outlineLevel="1">
      <c r="B1280" s="52" t="s">
        <v>747</v>
      </c>
      <c r="C1280" s="78" t="s">
        <v>246</v>
      </c>
      <c r="D1280" s="52" t="s">
        <v>300</v>
      </c>
      <c r="E1280" s="56" t="s">
        <v>226</v>
      </c>
      <c r="F1280" s="56" t="s">
        <v>1531</v>
      </c>
      <c r="G1280" s="56"/>
      <c r="H1280" s="52" t="s">
        <v>243</v>
      </c>
      <c r="I1280" s="52">
        <v>100</v>
      </c>
      <c r="J1280" s="52">
        <v>630000000</v>
      </c>
      <c r="K1280" s="56" t="s">
        <v>97</v>
      </c>
      <c r="L1280" s="53" t="s">
        <v>1627</v>
      </c>
      <c r="M1280" s="56" t="s">
        <v>97</v>
      </c>
      <c r="N1280" s="52"/>
      <c r="O1280" s="53" t="s">
        <v>1627</v>
      </c>
      <c r="P1280" s="53" t="s">
        <v>1524</v>
      </c>
      <c r="Q1280" s="52"/>
      <c r="R1280" s="52"/>
      <c r="S1280" s="54"/>
      <c r="T1280" s="52"/>
      <c r="U1280" s="54">
        <f t="shared" si="83"/>
        <v>107142.85714285713</v>
      </c>
      <c r="V1280" s="54">
        <v>120000</v>
      </c>
      <c r="W1280" s="52"/>
      <c r="X1280" s="52">
        <v>2012</v>
      </c>
      <c r="Y1280" s="52"/>
    </row>
    <row r="1281" spans="2:25" s="55" customFormat="1" ht="51" outlineLevel="1">
      <c r="B1281" s="52" t="s">
        <v>748</v>
      </c>
      <c r="C1281" s="78" t="s">
        <v>246</v>
      </c>
      <c r="D1281" s="52" t="s">
        <v>300</v>
      </c>
      <c r="E1281" s="56" t="s">
        <v>226</v>
      </c>
      <c r="F1281" s="56" t="s">
        <v>1531</v>
      </c>
      <c r="G1281" s="56"/>
      <c r="H1281" s="52" t="s">
        <v>243</v>
      </c>
      <c r="I1281" s="52">
        <v>100</v>
      </c>
      <c r="J1281" s="52">
        <v>310000000</v>
      </c>
      <c r="K1281" s="56" t="s">
        <v>119</v>
      </c>
      <c r="L1281" s="53" t="s">
        <v>1627</v>
      </c>
      <c r="M1281" s="56" t="s">
        <v>119</v>
      </c>
      <c r="N1281" s="52"/>
      <c r="O1281" s="53" t="s">
        <v>2180</v>
      </c>
      <c r="P1281" s="53" t="s">
        <v>1524</v>
      </c>
      <c r="Q1281" s="52"/>
      <c r="R1281" s="52"/>
      <c r="S1281" s="54"/>
      <c r="T1281" s="52"/>
      <c r="U1281" s="54">
        <f t="shared" si="83"/>
        <v>107142.85714285713</v>
      </c>
      <c r="V1281" s="54">
        <v>120000</v>
      </c>
      <c r="W1281" s="52"/>
      <c r="X1281" s="52">
        <v>2012</v>
      </c>
      <c r="Y1281" s="52"/>
    </row>
    <row r="1282" spans="2:25" s="55" customFormat="1" ht="51" outlineLevel="1">
      <c r="B1282" s="52" t="s">
        <v>749</v>
      </c>
      <c r="C1282" s="78" t="s">
        <v>246</v>
      </c>
      <c r="D1282" s="52" t="s">
        <v>300</v>
      </c>
      <c r="E1282" s="56" t="s">
        <v>226</v>
      </c>
      <c r="F1282" s="56" t="s">
        <v>1531</v>
      </c>
      <c r="G1282" s="56"/>
      <c r="H1282" s="52" t="s">
        <v>243</v>
      </c>
      <c r="I1282" s="52">
        <v>100</v>
      </c>
      <c r="J1282" s="52">
        <v>270000000</v>
      </c>
      <c r="K1282" s="56" t="s">
        <v>98</v>
      </c>
      <c r="L1282" s="53" t="s">
        <v>1627</v>
      </c>
      <c r="M1282" s="56" t="s">
        <v>98</v>
      </c>
      <c r="N1282" s="52"/>
      <c r="O1282" s="53" t="s">
        <v>1627</v>
      </c>
      <c r="P1282" s="53" t="s">
        <v>1524</v>
      </c>
      <c r="Q1282" s="52"/>
      <c r="R1282" s="52"/>
      <c r="S1282" s="54"/>
      <c r="T1282" s="52"/>
      <c r="U1282" s="54">
        <f t="shared" si="83"/>
        <v>107142.85714285713</v>
      </c>
      <c r="V1282" s="54">
        <v>120000</v>
      </c>
      <c r="W1282" s="52"/>
      <c r="X1282" s="52">
        <v>2012</v>
      </c>
      <c r="Y1282" s="52"/>
    </row>
    <row r="1283" spans="2:25" s="55" customFormat="1" ht="51" outlineLevel="1">
      <c r="B1283" s="52" t="s">
        <v>750</v>
      </c>
      <c r="C1283" s="78" t="s">
        <v>246</v>
      </c>
      <c r="D1283" s="52" t="s">
        <v>300</v>
      </c>
      <c r="E1283" s="56" t="s">
        <v>226</v>
      </c>
      <c r="F1283" s="56" t="s">
        <v>1531</v>
      </c>
      <c r="G1283" s="56"/>
      <c r="H1283" s="52" t="s">
        <v>243</v>
      </c>
      <c r="I1283" s="52">
        <v>100</v>
      </c>
      <c r="J1283" s="52">
        <v>350000000</v>
      </c>
      <c r="K1283" s="56" t="s">
        <v>120</v>
      </c>
      <c r="L1283" s="53" t="s">
        <v>1627</v>
      </c>
      <c r="M1283" s="56" t="s">
        <v>120</v>
      </c>
      <c r="N1283" s="52"/>
      <c r="O1283" s="53" t="s">
        <v>1627</v>
      </c>
      <c r="P1283" s="53" t="s">
        <v>1524</v>
      </c>
      <c r="Q1283" s="52"/>
      <c r="R1283" s="52"/>
      <c r="S1283" s="54"/>
      <c r="T1283" s="52"/>
      <c r="U1283" s="54">
        <f t="shared" si="83"/>
        <v>107142.85714285713</v>
      </c>
      <c r="V1283" s="54">
        <v>120000</v>
      </c>
      <c r="W1283" s="52"/>
      <c r="X1283" s="52">
        <v>2012</v>
      </c>
      <c r="Y1283" s="52"/>
    </row>
    <row r="1284" spans="2:25" s="55" customFormat="1" ht="76.5" outlineLevel="1">
      <c r="B1284" s="52" t="s">
        <v>751</v>
      </c>
      <c r="C1284" s="78" t="s">
        <v>246</v>
      </c>
      <c r="D1284" s="52" t="s">
        <v>300</v>
      </c>
      <c r="E1284" s="56" t="s">
        <v>226</v>
      </c>
      <c r="F1284" s="56" t="s">
        <v>1531</v>
      </c>
      <c r="G1284" s="56"/>
      <c r="H1284" s="52" t="s">
        <v>243</v>
      </c>
      <c r="I1284" s="52">
        <v>100</v>
      </c>
      <c r="J1284" s="52">
        <v>390000000</v>
      </c>
      <c r="K1284" s="56" t="s">
        <v>121</v>
      </c>
      <c r="L1284" s="53" t="s">
        <v>2183</v>
      </c>
      <c r="M1284" s="56" t="s">
        <v>121</v>
      </c>
      <c r="N1284" s="52"/>
      <c r="O1284" s="53" t="s">
        <v>2183</v>
      </c>
      <c r="P1284" s="53" t="s">
        <v>1524</v>
      </c>
      <c r="Q1284" s="52"/>
      <c r="R1284" s="52"/>
      <c r="S1284" s="54"/>
      <c r="T1284" s="52"/>
      <c r="U1284" s="54">
        <f t="shared" si="83"/>
        <v>107142.85714285713</v>
      </c>
      <c r="V1284" s="54">
        <v>120000</v>
      </c>
      <c r="W1284" s="52"/>
      <c r="X1284" s="52">
        <v>2012</v>
      </c>
      <c r="Y1284" s="52"/>
    </row>
    <row r="1285" spans="2:25" s="55" customFormat="1" ht="51" outlineLevel="1">
      <c r="B1285" s="52" t="s">
        <v>752</v>
      </c>
      <c r="C1285" s="78" t="s">
        <v>246</v>
      </c>
      <c r="D1285" s="52" t="s">
        <v>300</v>
      </c>
      <c r="E1285" s="56" t="s">
        <v>226</v>
      </c>
      <c r="F1285" s="56" t="s">
        <v>1531</v>
      </c>
      <c r="G1285" s="56"/>
      <c r="H1285" s="52" t="s">
        <v>243</v>
      </c>
      <c r="I1285" s="52">
        <v>100</v>
      </c>
      <c r="J1285" s="52">
        <v>430000000</v>
      </c>
      <c r="K1285" s="56" t="s">
        <v>122</v>
      </c>
      <c r="L1285" s="53" t="s">
        <v>1627</v>
      </c>
      <c r="M1285" s="56" t="s">
        <v>122</v>
      </c>
      <c r="N1285" s="52"/>
      <c r="O1285" s="53" t="s">
        <v>1627</v>
      </c>
      <c r="P1285" s="53" t="s">
        <v>1524</v>
      </c>
      <c r="Q1285" s="52"/>
      <c r="R1285" s="52"/>
      <c r="S1285" s="54"/>
      <c r="T1285" s="52"/>
      <c r="U1285" s="54">
        <f t="shared" si="83"/>
        <v>107142.85714285713</v>
      </c>
      <c r="V1285" s="54">
        <v>120000</v>
      </c>
      <c r="W1285" s="52"/>
      <c r="X1285" s="52">
        <v>2012</v>
      </c>
      <c r="Y1285" s="52"/>
    </row>
    <row r="1286" spans="2:25" s="55" customFormat="1" ht="51" outlineLevel="1">
      <c r="B1286" s="52" t="s">
        <v>753</v>
      </c>
      <c r="C1286" s="78" t="s">
        <v>246</v>
      </c>
      <c r="D1286" s="52" t="s">
        <v>300</v>
      </c>
      <c r="E1286" s="56" t="s">
        <v>226</v>
      </c>
      <c r="F1286" s="56" t="s">
        <v>1531</v>
      </c>
      <c r="G1286" s="56"/>
      <c r="H1286" s="52" t="s">
        <v>243</v>
      </c>
      <c r="I1286" s="52">
        <v>100</v>
      </c>
      <c r="J1286" s="52">
        <v>470000000</v>
      </c>
      <c r="K1286" s="56" t="s">
        <v>123</v>
      </c>
      <c r="L1286" s="53" t="s">
        <v>1627</v>
      </c>
      <c r="M1286" s="56" t="s">
        <v>123</v>
      </c>
      <c r="N1286" s="52"/>
      <c r="O1286" s="53" t="s">
        <v>1627</v>
      </c>
      <c r="P1286" s="53" t="s">
        <v>1524</v>
      </c>
      <c r="Q1286" s="52"/>
      <c r="R1286" s="52"/>
      <c r="S1286" s="54"/>
      <c r="T1286" s="52"/>
      <c r="U1286" s="54">
        <f t="shared" si="83"/>
        <v>107142.85714285713</v>
      </c>
      <c r="V1286" s="54">
        <v>120000</v>
      </c>
      <c r="W1286" s="52"/>
      <c r="X1286" s="52">
        <v>2012</v>
      </c>
      <c r="Y1286" s="52"/>
    </row>
    <row r="1287" spans="2:25" s="55" customFormat="1" ht="51" outlineLevel="1">
      <c r="B1287" s="52" t="s">
        <v>754</v>
      </c>
      <c r="C1287" s="78" t="s">
        <v>246</v>
      </c>
      <c r="D1287" s="52" t="s">
        <v>300</v>
      </c>
      <c r="E1287" s="56" t="s">
        <v>226</v>
      </c>
      <c r="F1287" s="56" t="s">
        <v>1531</v>
      </c>
      <c r="G1287" s="56"/>
      <c r="H1287" s="52" t="s">
        <v>243</v>
      </c>
      <c r="I1287" s="52">
        <v>100</v>
      </c>
      <c r="J1287" s="52">
        <v>550000000</v>
      </c>
      <c r="K1287" s="56" t="s">
        <v>124</v>
      </c>
      <c r="L1287" s="53" t="s">
        <v>1627</v>
      </c>
      <c r="M1287" s="56" t="s">
        <v>124</v>
      </c>
      <c r="N1287" s="52"/>
      <c r="O1287" s="53" t="s">
        <v>1627</v>
      </c>
      <c r="P1287" s="53" t="s">
        <v>1524</v>
      </c>
      <c r="Q1287" s="52"/>
      <c r="R1287" s="52"/>
      <c r="S1287" s="54"/>
      <c r="T1287" s="52"/>
      <c r="U1287" s="54">
        <f t="shared" si="83"/>
        <v>107142.85714285713</v>
      </c>
      <c r="V1287" s="54">
        <v>120000</v>
      </c>
      <c r="W1287" s="52"/>
      <c r="X1287" s="52">
        <v>2012</v>
      </c>
      <c r="Y1287" s="52"/>
    </row>
    <row r="1288" spans="2:25" s="55" customFormat="1" ht="51" outlineLevel="1">
      <c r="B1288" s="52" t="s">
        <v>755</v>
      </c>
      <c r="C1288" s="78" t="s">
        <v>246</v>
      </c>
      <c r="D1288" s="52" t="s">
        <v>300</v>
      </c>
      <c r="E1288" s="56" t="s">
        <v>226</v>
      </c>
      <c r="F1288" s="56" t="s">
        <v>1531</v>
      </c>
      <c r="G1288" s="56"/>
      <c r="H1288" s="52" t="s">
        <v>243</v>
      </c>
      <c r="I1288" s="52">
        <v>100</v>
      </c>
      <c r="J1288" s="52">
        <v>590000000</v>
      </c>
      <c r="K1288" s="56" t="s">
        <v>103</v>
      </c>
      <c r="L1288" s="53" t="s">
        <v>1627</v>
      </c>
      <c r="M1288" s="56" t="s">
        <v>103</v>
      </c>
      <c r="N1288" s="52"/>
      <c r="O1288" s="53" t="s">
        <v>1627</v>
      </c>
      <c r="P1288" s="53" t="s">
        <v>1524</v>
      </c>
      <c r="Q1288" s="52"/>
      <c r="R1288" s="52"/>
      <c r="S1288" s="54"/>
      <c r="T1288" s="52"/>
      <c r="U1288" s="54">
        <f t="shared" ref="U1288:U1364" si="86">V1288/112*100</f>
        <v>107142.85714285713</v>
      </c>
      <c r="V1288" s="54">
        <v>120000</v>
      </c>
      <c r="W1288" s="52"/>
      <c r="X1288" s="52">
        <v>2012</v>
      </c>
      <c r="Y1288" s="52"/>
    </row>
    <row r="1289" spans="2:25" s="55" customFormat="1" ht="51" outlineLevel="1">
      <c r="B1289" s="52" t="s">
        <v>756</v>
      </c>
      <c r="C1289" s="78" t="s">
        <v>246</v>
      </c>
      <c r="D1289" s="52" t="s">
        <v>300</v>
      </c>
      <c r="E1289" s="56" t="s">
        <v>226</v>
      </c>
      <c r="F1289" s="56" t="s">
        <v>1531</v>
      </c>
      <c r="G1289" s="56"/>
      <c r="H1289" s="52" t="s">
        <v>243</v>
      </c>
      <c r="I1289" s="52">
        <v>100</v>
      </c>
      <c r="J1289" s="52">
        <v>510000000</v>
      </c>
      <c r="K1289" s="63" t="s">
        <v>104</v>
      </c>
      <c r="L1289" s="53" t="s">
        <v>1627</v>
      </c>
      <c r="M1289" s="63" t="s">
        <v>104</v>
      </c>
      <c r="N1289" s="52"/>
      <c r="O1289" s="53" t="s">
        <v>1627</v>
      </c>
      <c r="P1289" s="53" t="s">
        <v>1524</v>
      </c>
      <c r="Q1289" s="52"/>
      <c r="R1289" s="52"/>
      <c r="S1289" s="54"/>
      <c r="T1289" s="52"/>
      <c r="U1289" s="54">
        <f t="shared" si="86"/>
        <v>107142.85714285713</v>
      </c>
      <c r="V1289" s="54">
        <v>120000</v>
      </c>
      <c r="W1289" s="52"/>
      <c r="X1289" s="52">
        <v>2012</v>
      </c>
      <c r="Y1289" s="52"/>
    </row>
    <row r="1290" spans="2:25" s="55" customFormat="1" ht="51" outlineLevel="1">
      <c r="B1290" s="52" t="s">
        <v>757</v>
      </c>
      <c r="C1290" s="78" t="s">
        <v>246</v>
      </c>
      <c r="D1290" s="52" t="s">
        <v>295</v>
      </c>
      <c r="E1290" s="56" t="s">
        <v>227</v>
      </c>
      <c r="F1290" s="56" t="s">
        <v>1530</v>
      </c>
      <c r="G1290" s="56"/>
      <c r="H1290" s="52" t="s">
        <v>243</v>
      </c>
      <c r="I1290" s="52">
        <v>80</v>
      </c>
      <c r="J1290" s="52">
        <v>110000000</v>
      </c>
      <c r="K1290" s="56" t="s">
        <v>125</v>
      </c>
      <c r="L1290" s="52" t="s">
        <v>1468</v>
      </c>
      <c r="M1290" s="56" t="s">
        <v>125</v>
      </c>
      <c r="N1290" s="52"/>
      <c r="O1290" s="52" t="s">
        <v>1980</v>
      </c>
      <c r="P1290" s="53" t="s">
        <v>1524</v>
      </c>
      <c r="Q1290" s="52"/>
      <c r="R1290" s="52"/>
      <c r="S1290" s="54"/>
      <c r="T1290" s="52"/>
      <c r="U1290" s="54">
        <f t="shared" si="86"/>
        <v>53571.428571428565</v>
      </c>
      <c r="V1290" s="54">
        <v>60000</v>
      </c>
      <c r="W1290" s="52"/>
      <c r="X1290" s="52">
        <v>2012</v>
      </c>
      <c r="Y1290" s="52"/>
    </row>
    <row r="1291" spans="2:25" s="55" customFormat="1" ht="51" outlineLevel="1">
      <c r="B1291" s="52" t="s">
        <v>758</v>
      </c>
      <c r="C1291" s="78" t="s">
        <v>246</v>
      </c>
      <c r="D1291" s="52" t="s">
        <v>295</v>
      </c>
      <c r="E1291" s="56" t="s">
        <v>227</v>
      </c>
      <c r="F1291" s="56" t="s">
        <v>1530</v>
      </c>
      <c r="G1291" s="56"/>
      <c r="H1291" s="52" t="s">
        <v>243</v>
      </c>
      <c r="I1291" s="52">
        <v>80</v>
      </c>
      <c r="J1291" s="52">
        <v>150000000</v>
      </c>
      <c r="K1291" s="56" t="s">
        <v>126</v>
      </c>
      <c r="L1291" s="52" t="s">
        <v>1468</v>
      </c>
      <c r="M1291" s="56" t="s">
        <v>126</v>
      </c>
      <c r="N1291" s="52"/>
      <c r="O1291" s="52" t="s">
        <v>1980</v>
      </c>
      <c r="P1291" s="53" t="s">
        <v>1524</v>
      </c>
      <c r="Q1291" s="52"/>
      <c r="R1291" s="52"/>
      <c r="S1291" s="54"/>
      <c r="T1291" s="52"/>
      <c r="U1291" s="54">
        <f t="shared" si="86"/>
        <v>53571.428571428565</v>
      </c>
      <c r="V1291" s="54">
        <v>60000</v>
      </c>
      <c r="W1291" s="52"/>
      <c r="X1291" s="52">
        <v>2012</v>
      </c>
      <c r="Y1291" s="52"/>
    </row>
    <row r="1292" spans="2:25" s="55" customFormat="1" ht="51" outlineLevel="1">
      <c r="B1292" s="52" t="s">
        <v>759</v>
      </c>
      <c r="C1292" s="78" t="s">
        <v>246</v>
      </c>
      <c r="D1292" s="52" t="s">
        <v>295</v>
      </c>
      <c r="E1292" s="56" t="s">
        <v>227</v>
      </c>
      <c r="F1292" s="56" t="s">
        <v>1530</v>
      </c>
      <c r="G1292" s="56"/>
      <c r="H1292" s="52" t="s">
        <v>243</v>
      </c>
      <c r="I1292" s="52">
        <v>80</v>
      </c>
      <c r="J1292" s="52">
        <v>190000000</v>
      </c>
      <c r="K1292" s="56" t="s">
        <v>117</v>
      </c>
      <c r="L1292" s="52" t="s">
        <v>1468</v>
      </c>
      <c r="M1292" s="56" t="s">
        <v>117</v>
      </c>
      <c r="N1292" s="52"/>
      <c r="O1292" s="52" t="s">
        <v>1980</v>
      </c>
      <c r="P1292" s="53" t="s">
        <v>1524</v>
      </c>
      <c r="Q1292" s="52"/>
      <c r="R1292" s="52"/>
      <c r="S1292" s="54"/>
      <c r="T1292" s="52"/>
      <c r="U1292" s="54">
        <f t="shared" si="86"/>
        <v>53571.428571428565</v>
      </c>
      <c r="V1292" s="54">
        <v>60000</v>
      </c>
      <c r="W1292" s="52"/>
      <c r="X1292" s="52">
        <v>2012</v>
      </c>
      <c r="Y1292" s="52"/>
    </row>
    <row r="1293" spans="2:25" s="55" customFormat="1" ht="51" outlineLevel="1">
      <c r="B1293" s="52" t="s">
        <v>760</v>
      </c>
      <c r="C1293" s="78" t="s">
        <v>246</v>
      </c>
      <c r="D1293" s="52" t="s">
        <v>295</v>
      </c>
      <c r="E1293" s="56" t="s">
        <v>227</v>
      </c>
      <c r="F1293" s="56" t="s">
        <v>1530</v>
      </c>
      <c r="G1293" s="56"/>
      <c r="H1293" s="52" t="s">
        <v>243</v>
      </c>
      <c r="I1293" s="52">
        <v>80</v>
      </c>
      <c r="J1293" s="52">
        <v>711000000</v>
      </c>
      <c r="K1293" s="56" t="s">
        <v>151</v>
      </c>
      <c r="L1293" s="52" t="s">
        <v>1468</v>
      </c>
      <c r="M1293" s="53" t="s">
        <v>1816</v>
      </c>
      <c r="N1293" s="52"/>
      <c r="O1293" s="52" t="s">
        <v>1980</v>
      </c>
      <c r="P1293" s="53" t="s">
        <v>1524</v>
      </c>
      <c r="Q1293" s="52"/>
      <c r="R1293" s="52"/>
      <c r="S1293" s="54"/>
      <c r="T1293" s="52"/>
      <c r="U1293" s="54">
        <f t="shared" si="86"/>
        <v>53571.428571428565</v>
      </c>
      <c r="V1293" s="54">
        <v>60000</v>
      </c>
      <c r="W1293" s="52"/>
      <c r="X1293" s="52">
        <v>2012</v>
      </c>
      <c r="Y1293" s="52"/>
    </row>
    <row r="1294" spans="2:25" s="55" customFormat="1" ht="51" outlineLevel="1">
      <c r="B1294" s="52" t="s">
        <v>761</v>
      </c>
      <c r="C1294" s="78" t="s">
        <v>246</v>
      </c>
      <c r="D1294" s="52" t="s">
        <v>295</v>
      </c>
      <c r="E1294" s="56" t="s">
        <v>227</v>
      </c>
      <c r="F1294" s="56" t="s">
        <v>1530</v>
      </c>
      <c r="G1294" s="56"/>
      <c r="H1294" s="52" t="s">
        <v>243</v>
      </c>
      <c r="I1294" s="52">
        <v>80</v>
      </c>
      <c r="J1294" s="52">
        <v>751000000</v>
      </c>
      <c r="K1294" s="63" t="s">
        <v>1437</v>
      </c>
      <c r="L1294" s="52" t="s">
        <v>1468</v>
      </c>
      <c r="M1294" s="63" t="s">
        <v>1437</v>
      </c>
      <c r="N1294" s="52"/>
      <c r="O1294" s="52" t="s">
        <v>1980</v>
      </c>
      <c r="P1294" s="53" t="s">
        <v>1524</v>
      </c>
      <c r="Q1294" s="52"/>
      <c r="R1294" s="52"/>
      <c r="S1294" s="54"/>
      <c r="T1294" s="52"/>
      <c r="U1294" s="54">
        <f t="shared" si="86"/>
        <v>53571.428571428565</v>
      </c>
      <c r="V1294" s="54">
        <v>60000</v>
      </c>
      <c r="W1294" s="52"/>
      <c r="X1294" s="52">
        <v>2012</v>
      </c>
      <c r="Y1294" s="52"/>
    </row>
    <row r="1295" spans="2:25" s="55" customFormat="1" ht="51" outlineLevel="1">
      <c r="B1295" s="52" t="s">
        <v>762</v>
      </c>
      <c r="C1295" s="78" t="s">
        <v>246</v>
      </c>
      <c r="D1295" s="52" t="s">
        <v>295</v>
      </c>
      <c r="E1295" s="56" t="s">
        <v>227</v>
      </c>
      <c r="F1295" s="56" t="s">
        <v>1530</v>
      </c>
      <c r="G1295" s="56"/>
      <c r="H1295" s="52" t="s">
        <v>243</v>
      </c>
      <c r="I1295" s="52">
        <v>80</v>
      </c>
      <c r="J1295" s="52">
        <v>230000000</v>
      </c>
      <c r="K1295" s="56" t="s">
        <v>118</v>
      </c>
      <c r="L1295" s="52" t="s">
        <v>1468</v>
      </c>
      <c r="M1295" s="56" t="s">
        <v>118</v>
      </c>
      <c r="N1295" s="52"/>
      <c r="O1295" s="52" t="s">
        <v>1980</v>
      </c>
      <c r="P1295" s="53" t="s">
        <v>1524</v>
      </c>
      <c r="Q1295" s="52"/>
      <c r="R1295" s="52"/>
      <c r="S1295" s="54"/>
      <c r="T1295" s="52"/>
      <c r="U1295" s="54">
        <f t="shared" si="86"/>
        <v>53571.428571428565</v>
      </c>
      <c r="V1295" s="54">
        <v>60000</v>
      </c>
      <c r="W1295" s="52"/>
      <c r="X1295" s="52">
        <v>2012</v>
      </c>
      <c r="Y1295" s="52"/>
    </row>
    <row r="1296" spans="2:25" s="55" customFormat="1" ht="51" outlineLevel="1">
      <c r="B1296" s="52" t="s">
        <v>763</v>
      </c>
      <c r="C1296" s="78" t="s">
        <v>246</v>
      </c>
      <c r="D1296" s="52" t="s">
        <v>295</v>
      </c>
      <c r="E1296" s="56" t="s">
        <v>227</v>
      </c>
      <c r="F1296" s="56" t="s">
        <v>1530</v>
      </c>
      <c r="G1296" s="56"/>
      <c r="H1296" s="52" t="s">
        <v>243</v>
      </c>
      <c r="I1296" s="52">
        <v>80</v>
      </c>
      <c r="J1296" s="52">
        <v>630000000</v>
      </c>
      <c r="K1296" s="56" t="s">
        <v>97</v>
      </c>
      <c r="L1296" s="52" t="s">
        <v>1468</v>
      </c>
      <c r="M1296" s="56" t="s">
        <v>97</v>
      </c>
      <c r="N1296" s="52"/>
      <c r="O1296" s="52" t="s">
        <v>1980</v>
      </c>
      <c r="P1296" s="53" t="s">
        <v>1524</v>
      </c>
      <c r="Q1296" s="52"/>
      <c r="R1296" s="52"/>
      <c r="S1296" s="54"/>
      <c r="T1296" s="52"/>
      <c r="U1296" s="54">
        <f t="shared" si="86"/>
        <v>53571.428571428565</v>
      </c>
      <c r="V1296" s="54">
        <v>60000</v>
      </c>
      <c r="W1296" s="52"/>
      <c r="X1296" s="52">
        <v>2012</v>
      </c>
      <c r="Y1296" s="52"/>
    </row>
    <row r="1297" spans="2:25" s="55" customFormat="1" ht="51" outlineLevel="1">
      <c r="B1297" s="52" t="s">
        <v>764</v>
      </c>
      <c r="C1297" s="78" t="s">
        <v>246</v>
      </c>
      <c r="D1297" s="52" t="s">
        <v>295</v>
      </c>
      <c r="E1297" s="56" t="s">
        <v>227</v>
      </c>
      <c r="F1297" s="56" t="s">
        <v>1530</v>
      </c>
      <c r="G1297" s="56"/>
      <c r="H1297" s="52" t="s">
        <v>243</v>
      </c>
      <c r="I1297" s="52">
        <v>80</v>
      </c>
      <c r="J1297" s="52">
        <v>310000000</v>
      </c>
      <c r="K1297" s="56" t="s">
        <v>119</v>
      </c>
      <c r="L1297" s="52" t="s">
        <v>1468</v>
      </c>
      <c r="M1297" s="56" t="s">
        <v>119</v>
      </c>
      <c r="N1297" s="52"/>
      <c r="O1297" s="52" t="s">
        <v>1980</v>
      </c>
      <c r="P1297" s="53" t="s">
        <v>1524</v>
      </c>
      <c r="Q1297" s="52"/>
      <c r="R1297" s="52"/>
      <c r="S1297" s="54"/>
      <c r="T1297" s="52"/>
      <c r="U1297" s="54">
        <f t="shared" si="86"/>
        <v>53571.428571428565</v>
      </c>
      <c r="V1297" s="54">
        <v>60000</v>
      </c>
      <c r="W1297" s="52"/>
      <c r="X1297" s="52">
        <v>2012</v>
      </c>
      <c r="Y1297" s="52"/>
    </row>
    <row r="1298" spans="2:25" s="55" customFormat="1" ht="51" outlineLevel="1">
      <c r="B1298" s="52" t="s">
        <v>1671</v>
      </c>
      <c r="C1298" s="78" t="s">
        <v>246</v>
      </c>
      <c r="D1298" s="52" t="s">
        <v>295</v>
      </c>
      <c r="E1298" s="56" t="s">
        <v>227</v>
      </c>
      <c r="F1298" s="56" t="s">
        <v>1530</v>
      </c>
      <c r="G1298" s="56"/>
      <c r="H1298" s="52" t="s">
        <v>243</v>
      </c>
      <c r="I1298" s="52">
        <v>80</v>
      </c>
      <c r="J1298" s="52">
        <v>270000000</v>
      </c>
      <c r="K1298" s="56" t="s">
        <v>98</v>
      </c>
      <c r="L1298" s="52" t="s">
        <v>1468</v>
      </c>
      <c r="M1298" s="56" t="s">
        <v>98</v>
      </c>
      <c r="N1298" s="52"/>
      <c r="O1298" s="52" t="s">
        <v>1980</v>
      </c>
      <c r="P1298" s="53" t="s">
        <v>1524</v>
      </c>
      <c r="Q1298" s="52"/>
      <c r="R1298" s="52"/>
      <c r="S1298" s="54"/>
      <c r="T1298" s="52"/>
      <c r="U1298" s="54">
        <f t="shared" si="86"/>
        <v>53571.428571428565</v>
      </c>
      <c r="V1298" s="54">
        <v>60000</v>
      </c>
      <c r="W1298" s="52"/>
      <c r="X1298" s="52">
        <v>2012</v>
      </c>
      <c r="Y1298" s="52"/>
    </row>
    <row r="1299" spans="2:25" s="55" customFormat="1" ht="51" outlineLevel="1">
      <c r="B1299" s="52" t="s">
        <v>765</v>
      </c>
      <c r="C1299" s="78" t="s">
        <v>246</v>
      </c>
      <c r="D1299" s="52" t="s">
        <v>295</v>
      </c>
      <c r="E1299" s="56" t="s">
        <v>227</v>
      </c>
      <c r="F1299" s="56" t="s">
        <v>1530</v>
      </c>
      <c r="G1299" s="56"/>
      <c r="H1299" s="52" t="s">
        <v>243</v>
      </c>
      <c r="I1299" s="52">
        <v>80</v>
      </c>
      <c r="J1299" s="52">
        <v>350000000</v>
      </c>
      <c r="K1299" s="56" t="s">
        <v>120</v>
      </c>
      <c r="L1299" s="52" t="s">
        <v>1468</v>
      </c>
      <c r="M1299" s="56" t="s">
        <v>120</v>
      </c>
      <c r="N1299" s="52"/>
      <c r="O1299" s="52" t="s">
        <v>1980</v>
      </c>
      <c r="P1299" s="53" t="s">
        <v>1524</v>
      </c>
      <c r="Q1299" s="52"/>
      <c r="R1299" s="52"/>
      <c r="S1299" s="54"/>
      <c r="T1299" s="52"/>
      <c r="U1299" s="54">
        <f t="shared" si="86"/>
        <v>53571.428571428565</v>
      </c>
      <c r="V1299" s="54">
        <v>60000</v>
      </c>
      <c r="W1299" s="52"/>
      <c r="X1299" s="52">
        <v>2012</v>
      </c>
      <c r="Y1299" s="52"/>
    </row>
    <row r="1300" spans="2:25" s="55" customFormat="1" ht="51" outlineLevel="1">
      <c r="B1300" s="52" t="s">
        <v>766</v>
      </c>
      <c r="C1300" s="78" t="s">
        <v>246</v>
      </c>
      <c r="D1300" s="52" t="s">
        <v>295</v>
      </c>
      <c r="E1300" s="56" t="s">
        <v>227</v>
      </c>
      <c r="F1300" s="56" t="s">
        <v>1530</v>
      </c>
      <c r="G1300" s="56"/>
      <c r="H1300" s="52" t="s">
        <v>243</v>
      </c>
      <c r="I1300" s="52">
        <v>80</v>
      </c>
      <c r="J1300" s="52">
        <v>390000000</v>
      </c>
      <c r="K1300" s="56" t="s">
        <v>121</v>
      </c>
      <c r="L1300" s="52" t="s">
        <v>1468</v>
      </c>
      <c r="M1300" s="56" t="s">
        <v>121</v>
      </c>
      <c r="N1300" s="52"/>
      <c r="O1300" s="52" t="s">
        <v>1980</v>
      </c>
      <c r="P1300" s="53" t="s">
        <v>1524</v>
      </c>
      <c r="Q1300" s="52"/>
      <c r="R1300" s="52"/>
      <c r="S1300" s="54"/>
      <c r="T1300" s="52"/>
      <c r="U1300" s="54">
        <f t="shared" si="86"/>
        <v>53571.428571428565</v>
      </c>
      <c r="V1300" s="54">
        <v>60000</v>
      </c>
      <c r="W1300" s="52"/>
      <c r="X1300" s="52">
        <v>2012</v>
      </c>
      <c r="Y1300" s="52"/>
    </row>
    <row r="1301" spans="2:25" s="55" customFormat="1" ht="51" outlineLevel="1">
      <c r="B1301" s="52" t="s">
        <v>767</v>
      </c>
      <c r="C1301" s="78" t="s">
        <v>246</v>
      </c>
      <c r="D1301" s="52" t="s">
        <v>295</v>
      </c>
      <c r="E1301" s="56" t="s">
        <v>227</v>
      </c>
      <c r="F1301" s="56" t="s">
        <v>1530</v>
      </c>
      <c r="G1301" s="56"/>
      <c r="H1301" s="52" t="s">
        <v>243</v>
      </c>
      <c r="I1301" s="52">
        <v>80</v>
      </c>
      <c r="J1301" s="52">
        <v>430000000</v>
      </c>
      <c r="K1301" s="56" t="s">
        <v>122</v>
      </c>
      <c r="L1301" s="52" t="s">
        <v>1468</v>
      </c>
      <c r="M1301" s="56" t="s">
        <v>122</v>
      </c>
      <c r="N1301" s="52"/>
      <c r="O1301" s="52" t="s">
        <v>1980</v>
      </c>
      <c r="P1301" s="53" t="s">
        <v>1524</v>
      </c>
      <c r="Q1301" s="52"/>
      <c r="R1301" s="52"/>
      <c r="S1301" s="54"/>
      <c r="T1301" s="52"/>
      <c r="U1301" s="54">
        <f t="shared" si="86"/>
        <v>53571.428571428565</v>
      </c>
      <c r="V1301" s="54">
        <v>60000</v>
      </c>
      <c r="W1301" s="52"/>
      <c r="X1301" s="52">
        <v>2012</v>
      </c>
      <c r="Y1301" s="52"/>
    </row>
    <row r="1302" spans="2:25" s="55" customFormat="1" ht="51" outlineLevel="1">
      <c r="B1302" s="52" t="s">
        <v>768</v>
      </c>
      <c r="C1302" s="78" t="s">
        <v>246</v>
      </c>
      <c r="D1302" s="52" t="s">
        <v>295</v>
      </c>
      <c r="E1302" s="56" t="s">
        <v>227</v>
      </c>
      <c r="F1302" s="56" t="s">
        <v>1530</v>
      </c>
      <c r="G1302" s="56"/>
      <c r="H1302" s="52" t="s">
        <v>243</v>
      </c>
      <c r="I1302" s="52">
        <v>80</v>
      </c>
      <c r="J1302" s="52">
        <v>470000000</v>
      </c>
      <c r="K1302" s="56" t="s">
        <v>123</v>
      </c>
      <c r="L1302" s="52" t="s">
        <v>1468</v>
      </c>
      <c r="M1302" s="56" t="s">
        <v>123</v>
      </c>
      <c r="N1302" s="52"/>
      <c r="O1302" s="52" t="s">
        <v>1980</v>
      </c>
      <c r="P1302" s="53" t="s">
        <v>1524</v>
      </c>
      <c r="Q1302" s="52"/>
      <c r="R1302" s="52"/>
      <c r="S1302" s="54"/>
      <c r="T1302" s="52"/>
      <c r="U1302" s="54">
        <f t="shared" si="86"/>
        <v>53571.428571428565</v>
      </c>
      <c r="V1302" s="54">
        <v>60000</v>
      </c>
      <c r="W1302" s="52"/>
      <c r="X1302" s="52">
        <v>2012</v>
      </c>
      <c r="Y1302" s="52"/>
    </row>
    <row r="1303" spans="2:25" s="55" customFormat="1" ht="51" outlineLevel="1">
      <c r="B1303" s="52" t="s">
        <v>769</v>
      </c>
      <c r="C1303" s="78" t="s">
        <v>246</v>
      </c>
      <c r="D1303" s="52" t="s">
        <v>295</v>
      </c>
      <c r="E1303" s="56" t="s">
        <v>227</v>
      </c>
      <c r="F1303" s="56" t="s">
        <v>1530</v>
      </c>
      <c r="G1303" s="56"/>
      <c r="H1303" s="52" t="s">
        <v>243</v>
      </c>
      <c r="I1303" s="52">
        <v>80</v>
      </c>
      <c r="J1303" s="52">
        <v>550000000</v>
      </c>
      <c r="K1303" s="56" t="s">
        <v>124</v>
      </c>
      <c r="L1303" s="52" t="s">
        <v>1468</v>
      </c>
      <c r="M1303" s="56" t="s">
        <v>124</v>
      </c>
      <c r="N1303" s="52"/>
      <c r="O1303" s="52" t="s">
        <v>1980</v>
      </c>
      <c r="P1303" s="53" t="s">
        <v>1524</v>
      </c>
      <c r="Q1303" s="52"/>
      <c r="R1303" s="52"/>
      <c r="S1303" s="54"/>
      <c r="T1303" s="52"/>
      <c r="U1303" s="54">
        <f t="shared" si="86"/>
        <v>53571.428571428565</v>
      </c>
      <c r="V1303" s="54">
        <v>60000</v>
      </c>
      <c r="W1303" s="52"/>
      <c r="X1303" s="52">
        <v>2012</v>
      </c>
      <c r="Y1303" s="52"/>
    </row>
    <row r="1304" spans="2:25" s="55" customFormat="1" ht="51" outlineLevel="1">
      <c r="B1304" s="52" t="s">
        <v>770</v>
      </c>
      <c r="C1304" s="78" t="s">
        <v>246</v>
      </c>
      <c r="D1304" s="52" t="s">
        <v>295</v>
      </c>
      <c r="E1304" s="56" t="s">
        <v>227</v>
      </c>
      <c r="F1304" s="56" t="s">
        <v>1530</v>
      </c>
      <c r="G1304" s="56"/>
      <c r="H1304" s="52" t="s">
        <v>243</v>
      </c>
      <c r="I1304" s="52">
        <v>80</v>
      </c>
      <c r="J1304" s="52">
        <v>590000000</v>
      </c>
      <c r="K1304" s="56" t="s">
        <v>103</v>
      </c>
      <c r="L1304" s="52" t="s">
        <v>1468</v>
      </c>
      <c r="M1304" s="56" t="s">
        <v>103</v>
      </c>
      <c r="N1304" s="52"/>
      <c r="O1304" s="52" t="s">
        <v>1980</v>
      </c>
      <c r="P1304" s="53" t="s">
        <v>1524</v>
      </c>
      <c r="Q1304" s="52"/>
      <c r="R1304" s="52"/>
      <c r="S1304" s="54"/>
      <c r="T1304" s="52"/>
      <c r="U1304" s="54">
        <f t="shared" si="86"/>
        <v>53571.428571428565</v>
      </c>
      <c r="V1304" s="54">
        <v>60000</v>
      </c>
      <c r="W1304" s="52"/>
      <c r="X1304" s="52">
        <v>2012</v>
      </c>
      <c r="Y1304" s="52"/>
    </row>
    <row r="1305" spans="2:25" s="55" customFormat="1" ht="51" outlineLevel="1">
      <c r="B1305" s="52" t="s">
        <v>771</v>
      </c>
      <c r="C1305" s="79" t="s">
        <v>246</v>
      </c>
      <c r="D1305" s="60" t="s">
        <v>295</v>
      </c>
      <c r="E1305" s="63" t="s">
        <v>227</v>
      </c>
      <c r="F1305" s="63" t="s">
        <v>1530</v>
      </c>
      <c r="G1305" s="63"/>
      <c r="H1305" s="60" t="s">
        <v>243</v>
      </c>
      <c r="I1305" s="52">
        <v>80</v>
      </c>
      <c r="J1305" s="60">
        <v>510000000</v>
      </c>
      <c r="K1305" s="63" t="s">
        <v>104</v>
      </c>
      <c r="L1305" s="52" t="s">
        <v>1468</v>
      </c>
      <c r="M1305" s="63" t="s">
        <v>104</v>
      </c>
      <c r="N1305" s="60"/>
      <c r="O1305" s="52" t="s">
        <v>1980</v>
      </c>
      <c r="P1305" s="61" t="s">
        <v>1524</v>
      </c>
      <c r="Q1305" s="60"/>
      <c r="R1305" s="60"/>
      <c r="S1305" s="62"/>
      <c r="T1305" s="60"/>
      <c r="U1305" s="54">
        <f t="shared" si="86"/>
        <v>53571.428571428565</v>
      </c>
      <c r="V1305" s="54">
        <v>60000</v>
      </c>
      <c r="W1305" s="52"/>
      <c r="X1305" s="52">
        <v>2012</v>
      </c>
      <c r="Y1305" s="60"/>
    </row>
    <row r="1306" spans="2:25" s="55" customFormat="1" ht="51">
      <c r="B1306" s="52" t="s">
        <v>772</v>
      </c>
      <c r="C1306" s="78" t="s">
        <v>246</v>
      </c>
      <c r="D1306" s="52" t="s">
        <v>294</v>
      </c>
      <c r="E1306" s="56" t="s">
        <v>196</v>
      </c>
      <c r="F1306" s="154" t="s">
        <v>1972</v>
      </c>
      <c r="G1306" s="80"/>
      <c r="H1306" s="52" t="s">
        <v>242</v>
      </c>
      <c r="I1306" s="52">
        <v>90</v>
      </c>
      <c r="J1306" s="52">
        <v>751000000</v>
      </c>
      <c r="K1306" s="53" t="s">
        <v>2290</v>
      </c>
      <c r="L1306" s="52" t="s">
        <v>1471</v>
      </c>
      <c r="M1306" s="53" t="s">
        <v>2290</v>
      </c>
      <c r="N1306" s="52"/>
      <c r="O1306" s="56" t="s">
        <v>2468</v>
      </c>
      <c r="P1306" s="53" t="s">
        <v>1524</v>
      </c>
      <c r="Q1306" s="52"/>
      <c r="R1306" s="52"/>
      <c r="S1306" s="54"/>
      <c r="T1306" s="52"/>
      <c r="U1306" s="54">
        <f t="shared" si="86"/>
        <v>0</v>
      </c>
      <c r="V1306" s="54">
        <v>0</v>
      </c>
      <c r="W1306" s="52"/>
      <c r="X1306" s="52">
        <v>2012</v>
      </c>
      <c r="Y1306" s="52">
        <v>11</v>
      </c>
    </row>
    <row r="1307" spans="2:25" s="55" customFormat="1" ht="51">
      <c r="B1307" s="52" t="s">
        <v>2857</v>
      </c>
      <c r="C1307" s="78" t="s">
        <v>246</v>
      </c>
      <c r="D1307" s="52" t="s">
        <v>294</v>
      </c>
      <c r="E1307" s="56" t="s">
        <v>196</v>
      </c>
      <c r="F1307" s="154" t="s">
        <v>1972</v>
      </c>
      <c r="G1307" s="80"/>
      <c r="H1307" s="52" t="s">
        <v>242</v>
      </c>
      <c r="I1307" s="52">
        <v>90</v>
      </c>
      <c r="J1307" s="52">
        <v>751000000</v>
      </c>
      <c r="K1307" s="53" t="s">
        <v>2290</v>
      </c>
      <c r="L1307" s="52" t="s">
        <v>1463</v>
      </c>
      <c r="M1307" s="53" t="s">
        <v>2290</v>
      </c>
      <c r="N1307" s="52"/>
      <c r="O1307" s="56" t="s">
        <v>2468</v>
      </c>
      <c r="P1307" s="53" t="s">
        <v>1524</v>
      </c>
      <c r="Q1307" s="52"/>
      <c r="R1307" s="52"/>
      <c r="S1307" s="54"/>
      <c r="T1307" s="52"/>
      <c r="U1307" s="54">
        <f t="shared" si="86"/>
        <v>22321428.571428571</v>
      </c>
      <c r="V1307" s="54">
        <v>25000000</v>
      </c>
      <c r="W1307" s="52"/>
      <c r="X1307" s="52">
        <v>2012</v>
      </c>
      <c r="Y1307" s="52"/>
    </row>
    <row r="1308" spans="2:25" s="55" customFormat="1" ht="63.75" outlineLevel="1">
      <c r="B1308" s="52" t="s">
        <v>773</v>
      </c>
      <c r="C1308" s="78" t="s">
        <v>246</v>
      </c>
      <c r="D1308" s="52" t="s">
        <v>293</v>
      </c>
      <c r="E1308" s="56" t="s">
        <v>197</v>
      </c>
      <c r="F1308" s="154" t="s">
        <v>1532</v>
      </c>
      <c r="G1308" s="80"/>
      <c r="H1308" s="52" t="s">
        <v>243</v>
      </c>
      <c r="I1308" s="52">
        <v>100</v>
      </c>
      <c r="J1308" s="52">
        <v>751000000</v>
      </c>
      <c r="K1308" s="53" t="s">
        <v>2290</v>
      </c>
      <c r="L1308" s="52" t="s">
        <v>1471</v>
      </c>
      <c r="M1308" s="53" t="s">
        <v>2290</v>
      </c>
      <c r="N1308" s="52"/>
      <c r="O1308" s="56" t="s">
        <v>2468</v>
      </c>
      <c r="P1308" s="53" t="s">
        <v>1524</v>
      </c>
      <c r="Q1308" s="52"/>
      <c r="R1308" s="52"/>
      <c r="S1308" s="54"/>
      <c r="T1308" s="52"/>
      <c r="U1308" s="54">
        <f t="shared" ref="U1308:U1310" si="87">V1308/112*100</f>
        <v>1084347.4285714284</v>
      </c>
      <c r="V1308" s="54">
        <f>[9]страх!$D$7*1000</f>
        <v>1214469.1199999999</v>
      </c>
      <c r="W1308" s="52"/>
      <c r="X1308" s="52">
        <v>2012</v>
      </c>
      <c r="Y1308" s="52"/>
    </row>
    <row r="1309" spans="2:25" s="55" customFormat="1" ht="127.5" outlineLevel="1">
      <c r="B1309" s="52" t="s">
        <v>774</v>
      </c>
      <c r="C1309" s="78" t="s">
        <v>246</v>
      </c>
      <c r="D1309" s="52" t="s">
        <v>1831</v>
      </c>
      <c r="E1309" s="56" t="s">
        <v>1832</v>
      </c>
      <c r="F1309" s="173" t="s">
        <v>1833</v>
      </c>
      <c r="G1309" s="174"/>
      <c r="H1309" s="56" t="s">
        <v>245</v>
      </c>
      <c r="I1309" s="82">
        <v>90</v>
      </c>
      <c r="J1309" s="52">
        <v>751000000</v>
      </c>
      <c r="K1309" s="53" t="s">
        <v>2290</v>
      </c>
      <c r="L1309" s="53" t="s">
        <v>1471</v>
      </c>
      <c r="M1309" s="53" t="s">
        <v>2290</v>
      </c>
      <c r="N1309" s="52"/>
      <c r="O1309" s="56" t="s">
        <v>2468</v>
      </c>
      <c r="P1309" s="53" t="s">
        <v>1821</v>
      </c>
      <c r="Q1309" s="52"/>
      <c r="R1309" s="52"/>
      <c r="S1309" s="54"/>
      <c r="T1309" s="52"/>
      <c r="U1309" s="54">
        <f t="shared" si="87"/>
        <v>0</v>
      </c>
      <c r="V1309" s="54">
        <v>0</v>
      </c>
      <c r="W1309" s="52"/>
      <c r="X1309" s="52">
        <v>2012</v>
      </c>
      <c r="Y1309" s="52">
        <v>11</v>
      </c>
    </row>
    <row r="1310" spans="2:25" s="55" customFormat="1" ht="127.5" outlineLevel="1">
      <c r="B1310" s="52" t="s">
        <v>2726</v>
      </c>
      <c r="C1310" s="78" t="s">
        <v>246</v>
      </c>
      <c r="D1310" s="52" t="s">
        <v>1831</v>
      </c>
      <c r="E1310" s="56" t="s">
        <v>1832</v>
      </c>
      <c r="F1310" s="175" t="s">
        <v>1833</v>
      </c>
      <c r="G1310" s="174"/>
      <c r="H1310" s="56" t="s">
        <v>245</v>
      </c>
      <c r="I1310" s="82">
        <v>90</v>
      </c>
      <c r="J1310" s="52">
        <v>751000000</v>
      </c>
      <c r="K1310" s="53" t="s">
        <v>2290</v>
      </c>
      <c r="L1310" s="53" t="s">
        <v>2727</v>
      </c>
      <c r="M1310" s="53" t="s">
        <v>2290</v>
      </c>
      <c r="N1310" s="52"/>
      <c r="O1310" s="56" t="s">
        <v>2468</v>
      </c>
      <c r="P1310" s="53" t="s">
        <v>1821</v>
      </c>
      <c r="Q1310" s="52"/>
      <c r="R1310" s="52"/>
      <c r="S1310" s="54"/>
      <c r="T1310" s="52"/>
      <c r="U1310" s="54">
        <f t="shared" si="87"/>
        <v>5500000</v>
      </c>
      <c r="V1310" s="54">
        <f>[9]страх!$I$4</f>
        <v>6160000</v>
      </c>
      <c r="W1310" s="52"/>
      <c r="X1310" s="52">
        <v>2012</v>
      </c>
      <c r="Y1310" s="52"/>
    </row>
    <row r="1311" spans="2:25" s="55" customFormat="1" ht="51" outlineLevel="1">
      <c r="B1311" s="52" t="s">
        <v>775</v>
      </c>
      <c r="C1311" s="78" t="s">
        <v>246</v>
      </c>
      <c r="D1311" s="52" t="s">
        <v>292</v>
      </c>
      <c r="E1311" s="56" t="s">
        <v>2288</v>
      </c>
      <c r="F1311" s="154" t="s">
        <v>2289</v>
      </c>
      <c r="G1311" s="80"/>
      <c r="H1311" s="52" t="s">
        <v>243</v>
      </c>
      <c r="I1311" s="52">
        <v>100</v>
      </c>
      <c r="J1311" s="52">
        <v>751000000</v>
      </c>
      <c r="K1311" s="53" t="s">
        <v>2290</v>
      </c>
      <c r="L1311" s="53" t="s">
        <v>1464</v>
      </c>
      <c r="M1311" s="53" t="s">
        <v>2290</v>
      </c>
      <c r="N1311" s="52"/>
      <c r="O1311" s="56" t="s">
        <v>2468</v>
      </c>
      <c r="P1311" s="53" t="s">
        <v>1524</v>
      </c>
      <c r="Q1311" s="52"/>
      <c r="R1311" s="52"/>
      <c r="S1311" s="54">
        <v>3</v>
      </c>
      <c r="T1311" s="52"/>
      <c r="U1311" s="54">
        <f>V1311/1.12</f>
        <v>80357.142857142855</v>
      </c>
      <c r="V1311" s="54">
        <v>90000</v>
      </c>
      <c r="W1311" s="52"/>
      <c r="X1311" s="52">
        <v>2012</v>
      </c>
      <c r="Y1311" s="52"/>
    </row>
    <row r="1312" spans="2:25" s="55" customFormat="1" ht="51" outlineLevel="1">
      <c r="B1312" s="52" t="s">
        <v>776</v>
      </c>
      <c r="C1312" s="78" t="s">
        <v>246</v>
      </c>
      <c r="D1312" s="52" t="s">
        <v>292</v>
      </c>
      <c r="E1312" s="56" t="s">
        <v>2351</v>
      </c>
      <c r="F1312" s="154" t="s">
        <v>2289</v>
      </c>
      <c r="G1312" s="52"/>
      <c r="H1312" s="52"/>
      <c r="I1312" s="52">
        <v>75</v>
      </c>
      <c r="K1312" s="53" t="s">
        <v>2467</v>
      </c>
      <c r="L1312" s="53" t="s">
        <v>1752</v>
      </c>
      <c r="M1312" s="53" t="s">
        <v>2290</v>
      </c>
      <c r="N1312" s="52"/>
      <c r="O1312" s="56" t="s">
        <v>2468</v>
      </c>
      <c r="P1312" s="53" t="s">
        <v>1524</v>
      </c>
      <c r="Q1312" s="52"/>
      <c r="S1312" s="54">
        <v>2</v>
      </c>
      <c r="U1312" s="54">
        <v>80000</v>
      </c>
      <c r="V1312" s="54">
        <f>U1312*1.12</f>
        <v>89600.000000000015</v>
      </c>
      <c r="W1312" s="54"/>
      <c r="X1312" s="52">
        <v>2012</v>
      </c>
      <c r="Y1312" s="52"/>
    </row>
    <row r="1313" spans="2:25" s="55" customFormat="1" ht="76.5" outlineLevel="1">
      <c r="B1313" s="52" t="s">
        <v>777</v>
      </c>
      <c r="C1313" s="78" t="s">
        <v>246</v>
      </c>
      <c r="D1313" s="52" t="s">
        <v>292</v>
      </c>
      <c r="E1313" s="56" t="s">
        <v>2291</v>
      </c>
      <c r="F1313" s="154" t="s">
        <v>2292</v>
      </c>
      <c r="G1313" s="80"/>
      <c r="H1313" s="52" t="s">
        <v>243</v>
      </c>
      <c r="I1313" s="52">
        <v>100</v>
      </c>
      <c r="J1313" s="52">
        <v>751000000</v>
      </c>
      <c r="K1313" s="53" t="s">
        <v>2290</v>
      </c>
      <c r="L1313" s="53" t="s">
        <v>1548</v>
      </c>
      <c r="M1313" s="53" t="s">
        <v>2290</v>
      </c>
      <c r="N1313" s="52"/>
      <c r="O1313" s="56" t="s">
        <v>2468</v>
      </c>
      <c r="P1313" s="53" t="s">
        <v>1524</v>
      </c>
      <c r="Q1313" s="52"/>
      <c r="R1313" s="52"/>
      <c r="S1313" s="54">
        <v>3</v>
      </c>
      <c r="T1313" s="52"/>
      <c r="U1313" s="54">
        <f>V1313/1.12</f>
        <v>0</v>
      </c>
      <c r="V1313" s="54">
        <v>0</v>
      </c>
      <c r="W1313" s="52"/>
      <c r="X1313" s="52">
        <v>2012</v>
      </c>
      <c r="Y1313" s="52">
        <v>21</v>
      </c>
    </row>
    <row r="1314" spans="2:25" s="55" customFormat="1" ht="76.5" outlineLevel="1">
      <c r="B1314" s="52" t="s">
        <v>2858</v>
      </c>
      <c r="C1314" s="78" t="s">
        <v>246</v>
      </c>
      <c r="D1314" s="52" t="s">
        <v>292</v>
      </c>
      <c r="E1314" s="56" t="s">
        <v>2291</v>
      </c>
      <c r="F1314" s="154" t="s">
        <v>2292</v>
      </c>
      <c r="G1314" s="80"/>
      <c r="H1314" s="52" t="s">
        <v>243</v>
      </c>
      <c r="I1314" s="52">
        <v>100</v>
      </c>
      <c r="J1314" s="52">
        <v>751000000</v>
      </c>
      <c r="K1314" s="53" t="s">
        <v>2290</v>
      </c>
      <c r="L1314" s="53" t="s">
        <v>1548</v>
      </c>
      <c r="M1314" s="53" t="s">
        <v>2290</v>
      </c>
      <c r="N1314" s="52"/>
      <c r="O1314" s="56" t="s">
        <v>2468</v>
      </c>
      <c r="P1314" s="53" t="s">
        <v>1524</v>
      </c>
      <c r="Q1314" s="52"/>
      <c r="R1314" s="52"/>
      <c r="S1314" s="54">
        <v>3</v>
      </c>
      <c r="T1314" s="52"/>
      <c r="U1314" s="54">
        <f>V1314/1.12</f>
        <v>535714.28571428568</v>
      </c>
      <c r="V1314" s="54">
        <f>695800-95800</f>
        <v>600000</v>
      </c>
      <c r="W1314" s="52"/>
      <c r="X1314" s="52">
        <v>2012</v>
      </c>
      <c r="Y1314" s="52"/>
    </row>
    <row r="1315" spans="2:25" s="55" customFormat="1" ht="76.5" outlineLevel="1">
      <c r="B1315" s="52" t="s">
        <v>778</v>
      </c>
      <c r="C1315" s="78" t="s">
        <v>246</v>
      </c>
      <c r="D1315" s="52" t="s">
        <v>292</v>
      </c>
      <c r="E1315" s="56" t="s">
        <v>2415</v>
      </c>
      <c r="F1315" s="154" t="s">
        <v>2292</v>
      </c>
      <c r="G1315" s="80"/>
      <c r="H1315" s="52" t="s">
        <v>243</v>
      </c>
      <c r="I1315" s="52"/>
      <c r="J1315" s="52"/>
      <c r="K1315" s="53" t="s">
        <v>2338</v>
      </c>
      <c r="L1315" s="53" t="s">
        <v>1555</v>
      </c>
      <c r="M1315" s="53" t="s">
        <v>2290</v>
      </c>
      <c r="N1315" s="53"/>
      <c r="O1315" s="56" t="s">
        <v>2468</v>
      </c>
      <c r="P1315" s="53" t="s">
        <v>1524</v>
      </c>
      <c r="Q1315" s="52"/>
      <c r="R1315" s="52"/>
      <c r="S1315" s="54">
        <v>2</v>
      </c>
      <c r="T1315" s="52"/>
      <c r="U1315" s="54">
        <v>380000</v>
      </c>
      <c r="V1315" s="54">
        <f>U1315*1.12</f>
        <v>425600.00000000006</v>
      </c>
      <c r="W1315" s="52"/>
      <c r="X1315" s="52">
        <v>2012</v>
      </c>
      <c r="Y1315" s="52"/>
    </row>
    <row r="1316" spans="2:25" s="55" customFormat="1" ht="51" outlineLevel="1">
      <c r="B1316" s="52" t="s">
        <v>779</v>
      </c>
      <c r="C1316" s="78" t="s">
        <v>246</v>
      </c>
      <c r="D1316" s="52" t="s">
        <v>292</v>
      </c>
      <c r="E1316" s="56" t="s">
        <v>228</v>
      </c>
      <c r="F1316" s="154" t="s">
        <v>1533</v>
      </c>
      <c r="G1316" s="80"/>
      <c r="H1316" s="52" t="s">
        <v>243</v>
      </c>
      <c r="I1316" s="52">
        <v>100</v>
      </c>
      <c r="J1316" s="52">
        <v>110000000</v>
      </c>
      <c r="K1316" s="56" t="s">
        <v>125</v>
      </c>
      <c r="L1316" s="53" t="s">
        <v>1468</v>
      </c>
      <c r="M1316" s="56" t="s">
        <v>125</v>
      </c>
      <c r="N1316" s="52"/>
      <c r="O1316" s="56" t="s">
        <v>2468</v>
      </c>
      <c r="P1316" s="53" t="s">
        <v>1524</v>
      </c>
      <c r="Q1316" s="52"/>
      <c r="R1316" s="52"/>
      <c r="S1316" s="54">
        <v>1</v>
      </c>
      <c r="T1316" s="52"/>
      <c r="U1316" s="54">
        <f t="shared" si="86"/>
        <v>143750</v>
      </c>
      <c r="V1316" s="54">
        <v>161000</v>
      </c>
      <c r="W1316" s="52"/>
      <c r="X1316" s="52">
        <v>2012</v>
      </c>
      <c r="Y1316" s="52"/>
    </row>
    <row r="1317" spans="2:25" s="55" customFormat="1" ht="51" outlineLevel="1">
      <c r="B1317" s="52" t="s">
        <v>780</v>
      </c>
      <c r="C1317" s="78" t="s">
        <v>246</v>
      </c>
      <c r="D1317" s="52" t="s">
        <v>292</v>
      </c>
      <c r="E1317" s="56" t="s">
        <v>228</v>
      </c>
      <c r="F1317" s="154" t="s">
        <v>1533</v>
      </c>
      <c r="G1317" s="80"/>
      <c r="H1317" s="52" t="s">
        <v>243</v>
      </c>
      <c r="I1317" s="52">
        <v>100</v>
      </c>
      <c r="J1317" s="52">
        <v>150000000</v>
      </c>
      <c r="K1317" s="56" t="s">
        <v>126</v>
      </c>
      <c r="L1317" s="53" t="s">
        <v>1468</v>
      </c>
      <c r="M1317" s="56" t="s">
        <v>126</v>
      </c>
      <c r="N1317" s="52"/>
      <c r="O1317" s="56" t="s">
        <v>2468</v>
      </c>
      <c r="P1317" s="53" t="s">
        <v>1524</v>
      </c>
      <c r="Q1317" s="52"/>
      <c r="R1317" s="52"/>
      <c r="S1317" s="54">
        <v>1</v>
      </c>
      <c r="T1317" s="52"/>
      <c r="U1317" s="54">
        <f t="shared" si="86"/>
        <v>143750</v>
      </c>
      <c r="V1317" s="54">
        <v>161000</v>
      </c>
      <c r="W1317" s="52"/>
      <c r="X1317" s="52">
        <v>2012</v>
      </c>
      <c r="Y1317" s="52"/>
    </row>
    <row r="1318" spans="2:25" s="55" customFormat="1" ht="51" outlineLevel="1">
      <c r="B1318" s="52" t="s">
        <v>781</v>
      </c>
      <c r="C1318" s="78" t="s">
        <v>246</v>
      </c>
      <c r="D1318" s="52" t="s">
        <v>292</v>
      </c>
      <c r="E1318" s="56" t="s">
        <v>228</v>
      </c>
      <c r="F1318" s="154" t="s">
        <v>1533</v>
      </c>
      <c r="G1318" s="80"/>
      <c r="H1318" s="52" t="s">
        <v>243</v>
      </c>
      <c r="I1318" s="52">
        <v>100</v>
      </c>
      <c r="J1318" s="52">
        <v>190000000</v>
      </c>
      <c r="K1318" s="56" t="s">
        <v>117</v>
      </c>
      <c r="L1318" s="53" t="s">
        <v>1462</v>
      </c>
      <c r="M1318" s="56" t="s">
        <v>117</v>
      </c>
      <c r="N1318" s="52"/>
      <c r="O1318" s="56" t="s">
        <v>2468</v>
      </c>
      <c r="P1318" s="53" t="s">
        <v>1524</v>
      </c>
      <c r="Q1318" s="52"/>
      <c r="R1318" s="52"/>
      <c r="S1318" s="54">
        <v>1</v>
      </c>
      <c r="T1318" s="52"/>
      <c r="U1318" s="54">
        <f t="shared" si="86"/>
        <v>143750</v>
      </c>
      <c r="V1318" s="54">
        <v>161000</v>
      </c>
      <c r="W1318" s="52"/>
      <c r="X1318" s="52">
        <v>2012</v>
      </c>
      <c r="Y1318" s="52"/>
    </row>
    <row r="1319" spans="2:25" s="55" customFormat="1" ht="51" outlineLevel="1">
      <c r="B1319" s="52" t="s">
        <v>782</v>
      </c>
      <c r="C1319" s="78" t="s">
        <v>246</v>
      </c>
      <c r="D1319" s="52" t="s">
        <v>292</v>
      </c>
      <c r="E1319" s="56" t="s">
        <v>228</v>
      </c>
      <c r="F1319" s="154" t="s">
        <v>1533</v>
      </c>
      <c r="G1319" s="80"/>
      <c r="H1319" s="52" t="s">
        <v>243</v>
      </c>
      <c r="I1319" s="52">
        <v>100</v>
      </c>
      <c r="J1319" s="52">
        <v>711000000</v>
      </c>
      <c r="K1319" s="56" t="s">
        <v>151</v>
      </c>
      <c r="L1319" s="53" t="s">
        <v>1468</v>
      </c>
      <c r="M1319" s="53" t="s">
        <v>1816</v>
      </c>
      <c r="N1319" s="52"/>
      <c r="O1319" s="56" t="s">
        <v>2468</v>
      </c>
      <c r="P1319" s="53" t="s">
        <v>1524</v>
      </c>
      <c r="Q1319" s="52"/>
      <c r="R1319" s="52"/>
      <c r="S1319" s="54">
        <v>3</v>
      </c>
      <c r="T1319" s="52"/>
      <c r="U1319" s="54">
        <f t="shared" si="86"/>
        <v>307142.85714285716</v>
      </c>
      <c r="V1319" s="54">
        <f>'[6]Приложение 1'!$V$1155</f>
        <v>344000</v>
      </c>
      <c r="W1319" s="52"/>
      <c r="X1319" s="52">
        <v>2012</v>
      </c>
      <c r="Y1319" s="52"/>
    </row>
    <row r="1320" spans="2:25" s="55" customFormat="1" ht="51" outlineLevel="1">
      <c r="B1320" s="52" t="s">
        <v>783</v>
      </c>
      <c r="C1320" s="78" t="s">
        <v>246</v>
      </c>
      <c r="D1320" s="52" t="s">
        <v>292</v>
      </c>
      <c r="E1320" s="56" t="s">
        <v>228</v>
      </c>
      <c r="F1320" s="154" t="s">
        <v>1533</v>
      </c>
      <c r="G1320" s="80"/>
      <c r="H1320" s="52" t="s">
        <v>243</v>
      </c>
      <c r="I1320" s="52">
        <v>100</v>
      </c>
      <c r="J1320" s="52">
        <v>751000000</v>
      </c>
      <c r="K1320" s="63" t="s">
        <v>1437</v>
      </c>
      <c r="L1320" s="53" t="s">
        <v>1468</v>
      </c>
      <c r="M1320" s="63" t="s">
        <v>1437</v>
      </c>
      <c r="N1320" s="52"/>
      <c r="O1320" s="56" t="s">
        <v>2468</v>
      </c>
      <c r="P1320" s="53" t="s">
        <v>1524</v>
      </c>
      <c r="Q1320" s="52"/>
      <c r="R1320" s="52"/>
      <c r="S1320" s="54">
        <v>1</v>
      </c>
      <c r="T1320" s="52"/>
      <c r="U1320" s="54">
        <f t="shared" si="86"/>
        <v>143750</v>
      </c>
      <c r="V1320" s="54">
        <v>161000</v>
      </c>
      <c r="W1320" s="52"/>
      <c r="X1320" s="52">
        <v>2012</v>
      </c>
      <c r="Y1320" s="52"/>
    </row>
    <row r="1321" spans="2:25" s="55" customFormat="1" ht="51" outlineLevel="1">
      <c r="B1321" s="52" t="s">
        <v>784</v>
      </c>
      <c r="C1321" s="78" t="s">
        <v>246</v>
      </c>
      <c r="D1321" s="52" t="s">
        <v>292</v>
      </c>
      <c r="E1321" s="56" t="s">
        <v>228</v>
      </c>
      <c r="F1321" s="154" t="s">
        <v>1533</v>
      </c>
      <c r="G1321" s="80"/>
      <c r="H1321" s="52" t="s">
        <v>243</v>
      </c>
      <c r="I1321" s="52">
        <v>100</v>
      </c>
      <c r="J1321" s="52">
        <v>230000000</v>
      </c>
      <c r="K1321" s="56" t="s">
        <v>118</v>
      </c>
      <c r="L1321" s="53" t="s">
        <v>1468</v>
      </c>
      <c r="M1321" s="56" t="s">
        <v>118</v>
      </c>
      <c r="N1321" s="52"/>
      <c r="O1321" s="56" t="s">
        <v>2468</v>
      </c>
      <c r="P1321" s="53" t="s">
        <v>1524</v>
      </c>
      <c r="Q1321" s="52"/>
      <c r="R1321" s="52"/>
      <c r="S1321" s="54">
        <v>1</v>
      </c>
      <c r="T1321" s="52"/>
      <c r="U1321" s="54">
        <f t="shared" si="86"/>
        <v>143750</v>
      </c>
      <c r="V1321" s="54">
        <v>161000</v>
      </c>
      <c r="W1321" s="52"/>
      <c r="X1321" s="52">
        <v>2012</v>
      </c>
      <c r="Y1321" s="52"/>
    </row>
    <row r="1322" spans="2:25" s="55" customFormat="1" ht="51" outlineLevel="1">
      <c r="B1322" s="52" t="s">
        <v>785</v>
      </c>
      <c r="C1322" s="78" t="s">
        <v>246</v>
      </c>
      <c r="D1322" s="52" t="s">
        <v>292</v>
      </c>
      <c r="E1322" s="56" t="s">
        <v>228</v>
      </c>
      <c r="F1322" s="154" t="s">
        <v>1533</v>
      </c>
      <c r="G1322" s="80"/>
      <c r="H1322" s="52" t="s">
        <v>243</v>
      </c>
      <c r="I1322" s="52">
        <v>100</v>
      </c>
      <c r="J1322" s="52">
        <v>630000000</v>
      </c>
      <c r="K1322" s="56" t="s">
        <v>97</v>
      </c>
      <c r="L1322" s="53" t="s">
        <v>1468</v>
      </c>
      <c r="M1322" s="56" t="s">
        <v>97</v>
      </c>
      <c r="N1322" s="52"/>
      <c r="O1322" s="56" t="s">
        <v>2468</v>
      </c>
      <c r="P1322" s="53" t="s">
        <v>1524</v>
      </c>
      <c r="Q1322" s="52"/>
      <c r="R1322" s="52"/>
      <c r="S1322" s="54">
        <v>1</v>
      </c>
      <c r="T1322" s="52"/>
      <c r="U1322" s="54">
        <f t="shared" si="86"/>
        <v>143750</v>
      </c>
      <c r="V1322" s="54">
        <v>161000</v>
      </c>
      <c r="W1322" s="52"/>
      <c r="X1322" s="52">
        <v>2012</v>
      </c>
      <c r="Y1322" s="52"/>
    </row>
    <row r="1323" spans="2:25" s="55" customFormat="1" ht="51" outlineLevel="1">
      <c r="B1323" s="52" t="s">
        <v>786</v>
      </c>
      <c r="C1323" s="78" t="s">
        <v>246</v>
      </c>
      <c r="D1323" s="52" t="s">
        <v>292</v>
      </c>
      <c r="E1323" s="56" t="s">
        <v>228</v>
      </c>
      <c r="F1323" s="154" t="s">
        <v>1533</v>
      </c>
      <c r="G1323" s="80"/>
      <c r="H1323" s="52" t="s">
        <v>243</v>
      </c>
      <c r="I1323" s="52">
        <v>100</v>
      </c>
      <c r="J1323" s="52">
        <v>310000000</v>
      </c>
      <c r="K1323" s="56" t="s">
        <v>119</v>
      </c>
      <c r="L1323" s="53" t="s">
        <v>1468</v>
      </c>
      <c r="M1323" s="56" t="s">
        <v>119</v>
      </c>
      <c r="N1323" s="52"/>
      <c r="O1323" s="56" t="s">
        <v>2468</v>
      </c>
      <c r="P1323" s="53" t="s">
        <v>1524</v>
      </c>
      <c r="Q1323" s="52"/>
      <c r="R1323" s="52"/>
      <c r="S1323" s="54">
        <v>1</v>
      </c>
      <c r="T1323" s="52"/>
      <c r="U1323" s="54">
        <f t="shared" si="86"/>
        <v>143750</v>
      </c>
      <c r="V1323" s="54">
        <v>161000</v>
      </c>
      <c r="W1323" s="52"/>
      <c r="X1323" s="52">
        <v>2012</v>
      </c>
      <c r="Y1323" s="52"/>
    </row>
    <row r="1324" spans="2:25" s="55" customFormat="1" ht="51" outlineLevel="1">
      <c r="B1324" s="52" t="s">
        <v>787</v>
      </c>
      <c r="C1324" s="78" t="s">
        <v>246</v>
      </c>
      <c r="D1324" s="52" t="s">
        <v>292</v>
      </c>
      <c r="E1324" s="56" t="s">
        <v>228</v>
      </c>
      <c r="F1324" s="154" t="s">
        <v>1533</v>
      </c>
      <c r="G1324" s="80"/>
      <c r="H1324" s="52" t="s">
        <v>243</v>
      </c>
      <c r="I1324" s="52">
        <v>100</v>
      </c>
      <c r="J1324" s="52">
        <v>270000000</v>
      </c>
      <c r="K1324" s="56" t="s">
        <v>98</v>
      </c>
      <c r="L1324" s="53" t="s">
        <v>1468</v>
      </c>
      <c r="M1324" s="56" t="s">
        <v>98</v>
      </c>
      <c r="N1324" s="52"/>
      <c r="O1324" s="56" t="s">
        <v>2468</v>
      </c>
      <c r="P1324" s="53" t="s">
        <v>1524</v>
      </c>
      <c r="Q1324" s="52"/>
      <c r="R1324" s="52"/>
      <c r="S1324" s="54">
        <v>1</v>
      </c>
      <c r="T1324" s="52"/>
      <c r="U1324" s="54">
        <f t="shared" si="86"/>
        <v>143750</v>
      </c>
      <c r="V1324" s="54">
        <v>161000</v>
      </c>
      <c r="W1324" s="52"/>
      <c r="X1324" s="52">
        <v>2012</v>
      </c>
      <c r="Y1324" s="52"/>
    </row>
    <row r="1325" spans="2:25" s="55" customFormat="1" ht="51" outlineLevel="1">
      <c r="B1325" s="52" t="s">
        <v>788</v>
      </c>
      <c r="C1325" s="78" t="s">
        <v>246</v>
      </c>
      <c r="D1325" s="52" t="s">
        <v>292</v>
      </c>
      <c r="E1325" s="56" t="s">
        <v>228</v>
      </c>
      <c r="F1325" s="154" t="s">
        <v>1533</v>
      </c>
      <c r="G1325" s="80"/>
      <c r="H1325" s="52" t="s">
        <v>243</v>
      </c>
      <c r="I1325" s="52">
        <v>100</v>
      </c>
      <c r="J1325" s="52">
        <v>350000000</v>
      </c>
      <c r="K1325" s="56" t="s">
        <v>120</v>
      </c>
      <c r="L1325" s="53" t="s">
        <v>1468</v>
      </c>
      <c r="M1325" s="56" t="s">
        <v>120</v>
      </c>
      <c r="N1325" s="52"/>
      <c r="O1325" s="56" t="s">
        <v>2468</v>
      </c>
      <c r="P1325" s="53" t="s">
        <v>1524</v>
      </c>
      <c r="Q1325" s="52"/>
      <c r="R1325" s="52"/>
      <c r="S1325" s="54">
        <v>1</v>
      </c>
      <c r="T1325" s="52"/>
      <c r="U1325" s="54">
        <f t="shared" si="86"/>
        <v>143750</v>
      </c>
      <c r="V1325" s="54">
        <v>161000</v>
      </c>
      <c r="W1325" s="52"/>
      <c r="X1325" s="52">
        <v>2012</v>
      </c>
      <c r="Y1325" s="52"/>
    </row>
    <row r="1326" spans="2:25" s="55" customFormat="1" ht="51" outlineLevel="1">
      <c r="B1326" s="52" t="s">
        <v>789</v>
      </c>
      <c r="C1326" s="78" t="s">
        <v>246</v>
      </c>
      <c r="D1326" s="52" t="s">
        <v>292</v>
      </c>
      <c r="E1326" s="56" t="s">
        <v>228</v>
      </c>
      <c r="F1326" s="154" t="s">
        <v>1533</v>
      </c>
      <c r="G1326" s="80"/>
      <c r="H1326" s="52" t="s">
        <v>243</v>
      </c>
      <c r="I1326" s="52">
        <v>100</v>
      </c>
      <c r="J1326" s="52">
        <v>390000000</v>
      </c>
      <c r="K1326" s="56" t="s">
        <v>121</v>
      </c>
      <c r="L1326" s="53" t="s">
        <v>1468</v>
      </c>
      <c r="M1326" s="56" t="s">
        <v>121</v>
      </c>
      <c r="N1326" s="52"/>
      <c r="O1326" s="56" t="s">
        <v>2468</v>
      </c>
      <c r="P1326" s="53" t="s">
        <v>1524</v>
      </c>
      <c r="Q1326" s="52"/>
      <c r="R1326" s="52"/>
      <c r="S1326" s="54">
        <v>1</v>
      </c>
      <c r="T1326" s="52"/>
      <c r="U1326" s="54">
        <f t="shared" si="86"/>
        <v>143750</v>
      </c>
      <c r="V1326" s="54">
        <v>161000</v>
      </c>
      <c r="W1326" s="52"/>
      <c r="X1326" s="52">
        <v>2012</v>
      </c>
      <c r="Y1326" s="52"/>
    </row>
    <row r="1327" spans="2:25" s="55" customFormat="1" ht="51" outlineLevel="1">
      <c r="B1327" s="52" t="s">
        <v>790</v>
      </c>
      <c r="C1327" s="78" t="s">
        <v>246</v>
      </c>
      <c r="D1327" s="52" t="s">
        <v>292</v>
      </c>
      <c r="E1327" s="56" t="s">
        <v>228</v>
      </c>
      <c r="F1327" s="154" t="s">
        <v>1533</v>
      </c>
      <c r="G1327" s="80"/>
      <c r="H1327" s="52" t="s">
        <v>243</v>
      </c>
      <c r="I1327" s="52">
        <v>100</v>
      </c>
      <c r="J1327" s="52">
        <v>430000000</v>
      </c>
      <c r="K1327" s="56" t="s">
        <v>122</v>
      </c>
      <c r="L1327" s="53" t="s">
        <v>1468</v>
      </c>
      <c r="M1327" s="56" t="s">
        <v>122</v>
      </c>
      <c r="N1327" s="52"/>
      <c r="O1327" s="56" t="s">
        <v>2468</v>
      </c>
      <c r="P1327" s="53" t="s">
        <v>1524</v>
      </c>
      <c r="Q1327" s="52"/>
      <c r="R1327" s="52"/>
      <c r="S1327" s="54">
        <v>1</v>
      </c>
      <c r="T1327" s="52"/>
      <c r="U1327" s="54">
        <f t="shared" si="86"/>
        <v>143750</v>
      </c>
      <c r="V1327" s="54">
        <v>161000</v>
      </c>
      <c r="W1327" s="52"/>
      <c r="X1327" s="52">
        <v>2012</v>
      </c>
      <c r="Y1327" s="52"/>
    </row>
    <row r="1328" spans="2:25" s="55" customFormat="1" ht="51" outlineLevel="1">
      <c r="B1328" s="52" t="s">
        <v>791</v>
      </c>
      <c r="C1328" s="78" t="s">
        <v>246</v>
      </c>
      <c r="D1328" s="52" t="s">
        <v>292</v>
      </c>
      <c r="E1328" s="56" t="s">
        <v>228</v>
      </c>
      <c r="F1328" s="154" t="s">
        <v>1533</v>
      </c>
      <c r="G1328" s="80"/>
      <c r="H1328" s="52" t="s">
        <v>243</v>
      </c>
      <c r="I1328" s="52">
        <v>100</v>
      </c>
      <c r="J1328" s="52">
        <v>470000000</v>
      </c>
      <c r="K1328" s="56" t="s">
        <v>123</v>
      </c>
      <c r="L1328" s="53" t="s">
        <v>1468</v>
      </c>
      <c r="M1328" s="56" t="s">
        <v>123</v>
      </c>
      <c r="N1328" s="52"/>
      <c r="O1328" s="56" t="s">
        <v>2468</v>
      </c>
      <c r="P1328" s="53" t="s">
        <v>1524</v>
      </c>
      <c r="Q1328" s="52"/>
      <c r="R1328" s="52"/>
      <c r="S1328" s="54">
        <v>1</v>
      </c>
      <c r="T1328" s="52"/>
      <c r="U1328" s="54">
        <f t="shared" si="86"/>
        <v>143750</v>
      </c>
      <c r="V1328" s="54">
        <v>161000</v>
      </c>
      <c r="W1328" s="52"/>
      <c r="X1328" s="52">
        <v>2012</v>
      </c>
      <c r="Y1328" s="52"/>
    </row>
    <row r="1329" spans="2:25" s="55" customFormat="1" ht="51" outlineLevel="1">
      <c r="B1329" s="52" t="s">
        <v>792</v>
      </c>
      <c r="C1329" s="78" t="s">
        <v>246</v>
      </c>
      <c r="D1329" s="52" t="s">
        <v>292</v>
      </c>
      <c r="E1329" s="56" t="s">
        <v>228</v>
      </c>
      <c r="F1329" s="154" t="s">
        <v>1533</v>
      </c>
      <c r="G1329" s="80"/>
      <c r="H1329" s="52" t="s">
        <v>243</v>
      </c>
      <c r="I1329" s="52">
        <v>100</v>
      </c>
      <c r="J1329" s="52">
        <v>550000000</v>
      </c>
      <c r="K1329" s="56" t="s">
        <v>124</v>
      </c>
      <c r="L1329" s="53" t="s">
        <v>1468</v>
      </c>
      <c r="M1329" s="56" t="s">
        <v>124</v>
      </c>
      <c r="N1329" s="52"/>
      <c r="O1329" s="56" t="s">
        <v>2468</v>
      </c>
      <c r="P1329" s="53" t="s">
        <v>1524</v>
      </c>
      <c r="Q1329" s="52"/>
      <c r="R1329" s="52"/>
      <c r="S1329" s="54">
        <v>1</v>
      </c>
      <c r="T1329" s="52"/>
      <c r="U1329" s="54">
        <f t="shared" si="86"/>
        <v>143750</v>
      </c>
      <c r="V1329" s="54">
        <v>161000</v>
      </c>
      <c r="W1329" s="52"/>
      <c r="X1329" s="52">
        <v>2012</v>
      </c>
      <c r="Y1329" s="52"/>
    </row>
    <row r="1330" spans="2:25" s="55" customFormat="1" ht="51" outlineLevel="1">
      <c r="B1330" s="52" t="s">
        <v>793</v>
      </c>
      <c r="C1330" s="78" t="s">
        <v>246</v>
      </c>
      <c r="D1330" s="52" t="s">
        <v>292</v>
      </c>
      <c r="E1330" s="56" t="s">
        <v>228</v>
      </c>
      <c r="F1330" s="154" t="s">
        <v>1533</v>
      </c>
      <c r="G1330" s="80"/>
      <c r="H1330" s="52" t="s">
        <v>243</v>
      </c>
      <c r="I1330" s="52">
        <v>100</v>
      </c>
      <c r="J1330" s="52">
        <v>590000000</v>
      </c>
      <c r="K1330" s="56" t="s">
        <v>103</v>
      </c>
      <c r="L1330" s="53" t="s">
        <v>1468</v>
      </c>
      <c r="M1330" s="56" t="s">
        <v>103</v>
      </c>
      <c r="N1330" s="52"/>
      <c r="O1330" s="56" t="s">
        <v>2468</v>
      </c>
      <c r="P1330" s="53" t="s">
        <v>1524</v>
      </c>
      <c r="Q1330" s="52"/>
      <c r="R1330" s="52"/>
      <c r="S1330" s="54">
        <v>1</v>
      </c>
      <c r="T1330" s="52"/>
      <c r="U1330" s="54">
        <f t="shared" si="86"/>
        <v>143750</v>
      </c>
      <c r="V1330" s="54">
        <v>161000</v>
      </c>
      <c r="W1330" s="52"/>
      <c r="X1330" s="52">
        <v>2012</v>
      </c>
      <c r="Y1330" s="52"/>
    </row>
    <row r="1331" spans="2:25" s="55" customFormat="1" ht="51" outlineLevel="1">
      <c r="B1331" s="52" t="s">
        <v>794</v>
      </c>
      <c r="C1331" s="78" t="s">
        <v>246</v>
      </c>
      <c r="D1331" s="52" t="s">
        <v>292</v>
      </c>
      <c r="E1331" s="56" t="s">
        <v>228</v>
      </c>
      <c r="F1331" s="154" t="s">
        <v>1533</v>
      </c>
      <c r="G1331" s="80"/>
      <c r="H1331" s="52" t="s">
        <v>243</v>
      </c>
      <c r="I1331" s="52">
        <v>100</v>
      </c>
      <c r="J1331" s="52">
        <v>510000000</v>
      </c>
      <c r="K1331" s="63" t="s">
        <v>104</v>
      </c>
      <c r="L1331" s="53" t="s">
        <v>1468</v>
      </c>
      <c r="M1331" s="63" t="s">
        <v>104</v>
      </c>
      <c r="N1331" s="52"/>
      <c r="O1331" s="56" t="s">
        <v>2468</v>
      </c>
      <c r="P1331" s="53" t="s">
        <v>1524</v>
      </c>
      <c r="Q1331" s="52"/>
      <c r="R1331" s="52"/>
      <c r="S1331" s="54">
        <v>1</v>
      </c>
      <c r="T1331" s="52"/>
      <c r="U1331" s="54">
        <f t="shared" si="86"/>
        <v>143750</v>
      </c>
      <c r="V1331" s="54">
        <v>161000</v>
      </c>
      <c r="W1331" s="52"/>
      <c r="X1331" s="52">
        <v>2012</v>
      </c>
      <c r="Y1331" s="52"/>
    </row>
    <row r="1332" spans="2:25" s="55" customFormat="1" ht="102" outlineLevel="1">
      <c r="B1332" s="52" t="s">
        <v>795</v>
      </c>
      <c r="C1332" s="78" t="s">
        <v>246</v>
      </c>
      <c r="D1332" s="52" t="s">
        <v>303</v>
      </c>
      <c r="E1332" s="56" t="s">
        <v>1592</v>
      </c>
      <c r="F1332" s="56" t="s">
        <v>1593</v>
      </c>
      <c r="G1332" s="56"/>
      <c r="H1332" s="52" t="s">
        <v>243</v>
      </c>
      <c r="I1332" s="52">
        <v>100</v>
      </c>
      <c r="J1332" s="52">
        <v>751000000</v>
      </c>
      <c r="K1332" s="53" t="s">
        <v>2290</v>
      </c>
      <c r="L1332" s="53" t="s">
        <v>1627</v>
      </c>
      <c r="M1332" s="53" t="s">
        <v>2290</v>
      </c>
      <c r="N1332" s="52"/>
      <c r="O1332" s="53" t="s">
        <v>1627</v>
      </c>
      <c r="P1332" s="53" t="s">
        <v>1469</v>
      </c>
      <c r="Q1332" s="52"/>
      <c r="R1332" s="52"/>
      <c r="S1332" s="54"/>
      <c r="T1332" s="52"/>
      <c r="U1332" s="54">
        <f t="shared" si="86"/>
        <v>0</v>
      </c>
      <c r="V1332" s="54">
        <v>0</v>
      </c>
      <c r="W1332" s="52"/>
      <c r="X1332" s="52">
        <v>2012</v>
      </c>
      <c r="Y1332" s="52">
        <v>11</v>
      </c>
    </row>
    <row r="1333" spans="2:25" s="55" customFormat="1" ht="102" outlineLevel="1">
      <c r="B1333" s="52" t="s">
        <v>2859</v>
      </c>
      <c r="C1333" s="78" t="s">
        <v>246</v>
      </c>
      <c r="D1333" s="52" t="s">
        <v>303</v>
      </c>
      <c r="E1333" s="56" t="s">
        <v>1592</v>
      </c>
      <c r="F1333" s="56" t="s">
        <v>1593</v>
      </c>
      <c r="G1333" s="56"/>
      <c r="H1333" s="52" t="s">
        <v>243</v>
      </c>
      <c r="I1333" s="52">
        <v>100</v>
      </c>
      <c r="J1333" s="52">
        <v>751000000</v>
      </c>
      <c r="K1333" s="53" t="s">
        <v>2290</v>
      </c>
      <c r="L1333" s="53" t="s">
        <v>2860</v>
      </c>
      <c r="M1333" s="53" t="s">
        <v>2290</v>
      </c>
      <c r="N1333" s="52"/>
      <c r="O1333" s="53" t="s">
        <v>1627</v>
      </c>
      <c r="P1333" s="53" t="s">
        <v>1469</v>
      </c>
      <c r="Q1333" s="52"/>
      <c r="R1333" s="52"/>
      <c r="S1333" s="54"/>
      <c r="T1333" s="52"/>
      <c r="U1333" s="54">
        <f t="shared" si="86"/>
        <v>446428.57142857148</v>
      </c>
      <c r="V1333" s="54">
        <v>500000</v>
      </c>
      <c r="W1333" s="52"/>
      <c r="X1333" s="52">
        <v>2012</v>
      </c>
      <c r="Y1333" s="52"/>
    </row>
    <row r="1334" spans="2:25" s="55" customFormat="1" ht="102" outlineLevel="1">
      <c r="B1334" s="52" t="s">
        <v>796</v>
      </c>
      <c r="C1334" s="78" t="s">
        <v>246</v>
      </c>
      <c r="D1334" s="52" t="s">
        <v>303</v>
      </c>
      <c r="E1334" s="56" t="s">
        <v>202</v>
      </c>
      <c r="F1334" s="56" t="s">
        <v>1579</v>
      </c>
      <c r="G1334" s="56"/>
      <c r="H1334" s="52" t="s">
        <v>243</v>
      </c>
      <c r="I1334" s="52">
        <v>100</v>
      </c>
      <c r="J1334" s="52">
        <v>110000000</v>
      </c>
      <c r="K1334" s="56" t="s">
        <v>125</v>
      </c>
      <c r="L1334" s="53" t="s">
        <v>1627</v>
      </c>
      <c r="M1334" s="56" t="s">
        <v>125</v>
      </c>
      <c r="N1334" s="52"/>
      <c r="O1334" s="53" t="s">
        <v>1627</v>
      </c>
      <c r="P1334" s="53" t="s">
        <v>1469</v>
      </c>
      <c r="Q1334" s="52"/>
      <c r="R1334" s="52"/>
      <c r="S1334" s="54"/>
      <c r="T1334" s="52"/>
      <c r="U1334" s="54">
        <f t="shared" si="86"/>
        <v>1456919.642857143</v>
      </c>
      <c r="V1334" s="54">
        <f>'[2]оценка залог имущ.'!$B$5</f>
        <v>1631750</v>
      </c>
      <c r="W1334" s="52"/>
      <c r="X1334" s="52">
        <v>2012</v>
      </c>
      <c r="Y1334" s="52"/>
    </row>
    <row r="1335" spans="2:25" s="55" customFormat="1" ht="102" outlineLevel="1">
      <c r="B1335" s="52" t="s">
        <v>797</v>
      </c>
      <c r="C1335" s="78" t="s">
        <v>246</v>
      </c>
      <c r="D1335" s="52" t="s">
        <v>303</v>
      </c>
      <c r="E1335" s="56" t="s">
        <v>202</v>
      </c>
      <c r="F1335" s="56" t="s">
        <v>1579</v>
      </c>
      <c r="G1335" s="56"/>
      <c r="H1335" s="52" t="s">
        <v>243</v>
      </c>
      <c r="I1335" s="52">
        <v>100</v>
      </c>
      <c r="J1335" s="52">
        <v>150000000</v>
      </c>
      <c r="K1335" s="56" t="s">
        <v>126</v>
      </c>
      <c r="L1335" s="53" t="s">
        <v>1627</v>
      </c>
      <c r="M1335" s="56" t="s">
        <v>126</v>
      </c>
      <c r="N1335" s="52"/>
      <c r="O1335" s="53" t="s">
        <v>1627</v>
      </c>
      <c r="P1335" s="53" t="s">
        <v>1469</v>
      </c>
      <c r="Q1335" s="52"/>
      <c r="R1335" s="52"/>
      <c r="S1335" s="54"/>
      <c r="T1335" s="52"/>
      <c r="U1335" s="54">
        <f t="shared" si="86"/>
        <v>182232.14285714287</v>
      </c>
      <c r="V1335" s="54">
        <f>'[2]оценка залог имущ.'!$B$6</f>
        <v>204100</v>
      </c>
      <c r="W1335" s="52"/>
      <c r="X1335" s="52">
        <v>2012</v>
      </c>
      <c r="Y1335" s="52"/>
    </row>
    <row r="1336" spans="2:25" s="55" customFormat="1" ht="102" outlineLevel="1">
      <c r="B1336" s="52" t="s">
        <v>798</v>
      </c>
      <c r="C1336" s="78" t="s">
        <v>246</v>
      </c>
      <c r="D1336" s="52" t="s">
        <v>303</v>
      </c>
      <c r="E1336" s="56" t="s">
        <v>202</v>
      </c>
      <c r="F1336" s="56" t="s">
        <v>1579</v>
      </c>
      <c r="G1336" s="56"/>
      <c r="H1336" s="52" t="s">
        <v>243</v>
      </c>
      <c r="I1336" s="52">
        <v>100</v>
      </c>
      <c r="J1336" s="52">
        <v>190000000</v>
      </c>
      <c r="K1336" s="56" t="s">
        <v>117</v>
      </c>
      <c r="L1336" s="53" t="s">
        <v>1627</v>
      </c>
      <c r="M1336" s="56" t="s">
        <v>117</v>
      </c>
      <c r="N1336" s="52"/>
      <c r="O1336" s="53" t="s">
        <v>1627</v>
      </c>
      <c r="P1336" s="53" t="s">
        <v>1469</v>
      </c>
      <c r="Q1336" s="52"/>
      <c r="R1336" s="52"/>
      <c r="S1336" s="54"/>
      <c r="T1336" s="52"/>
      <c r="U1336" s="54">
        <f t="shared" si="86"/>
        <v>982142.85714285704</v>
      </c>
      <c r="V1336" s="54">
        <f>'[2]оценка залог имущ.'!$B$7</f>
        <v>1100000</v>
      </c>
      <c r="W1336" s="52"/>
      <c r="X1336" s="52">
        <v>2012</v>
      </c>
      <c r="Y1336" s="52"/>
    </row>
    <row r="1337" spans="2:25" s="55" customFormat="1" ht="102" outlineLevel="1">
      <c r="B1337" s="52" t="s">
        <v>799</v>
      </c>
      <c r="C1337" s="78" t="s">
        <v>246</v>
      </c>
      <c r="D1337" s="52" t="s">
        <v>303</v>
      </c>
      <c r="E1337" s="56" t="s">
        <v>202</v>
      </c>
      <c r="F1337" s="56" t="s">
        <v>1579</v>
      </c>
      <c r="G1337" s="56"/>
      <c r="H1337" s="52" t="s">
        <v>243</v>
      </c>
      <c r="I1337" s="52">
        <v>100</v>
      </c>
      <c r="J1337" s="52">
        <v>751000000</v>
      </c>
      <c r="K1337" s="56" t="s">
        <v>151</v>
      </c>
      <c r="L1337" s="53" t="s">
        <v>1627</v>
      </c>
      <c r="M1337" s="53" t="s">
        <v>1816</v>
      </c>
      <c r="N1337" s="52"/>
      <c r="O1337" s="53" t="s">
        <v>1627</v>
      </c>
      <c r="P1337" s="53" t="s">
        <v>1469</v>
      </c>
      <c r="Q1337" s="52"/>
      <c r="R1337" s="52"/>
      <c r="S1337" s="54"/>
      <c r="T1337" s="52"/>
      <c r="U1337" s="54">
        <f t="shared" si="86"/>
        <v>924107.14285714296</v>
      </c>
      <c r="V1337" s="54">
        <f>'[2]оценка залог имущ.'!$B$19</f>
        <v>1035000</v>
      </c>
      <c r="W1337" s="52"/>
      <c r="X1337" s="52">
        <v>2012</v>
      </c>
      <c r="Y1337" s="52"/>
    </row>
    <row r="1338" spans="2:25" s="55" customFormat="1" ht="102" outlineLevel="1">
      <c r="B1338" s="52" t="s">
        <v>800</v>
      </c>
      <c r="C1338" s="78" t="s">
        <v>246</v>
      </c>
      <c r="D1338" s="52" t="s">
        <v>303</v>
      </c>
      <c r="E1338" s="56" t="s">
        <v>202</v>
      </c>
      <c r="F1338" s="56" t="s">
        <v>1579</v>
      </c>
      <c r="G1338" s="56"/>
      <c r="H1338" s="52" t="s">
        <v>245</v>
      </c>
      <c r="I1338" s="52">
        <v>100</v>
      </c>
      <c r="J1338" s="52">
        <v>711000000</v>
      </c>
      <c r="K1338" s="63" t="s">
        <v>1437</v>
      </c>
      <c r="L1338" s="53" t="s">
        <v>1503</v>
      </c>
      <c r="M1338" s="63" t="s">
        <v>1437</v>
      </c>
      <c r="N1338" s="52"/>
      <c r="O1338" s="53" t="s">
        <v>1976</v>
      </c>
      <c r="P1338" s="53" t="s">
        <v>1469</v>
      </c>
      <c r="Q1338" s="52"/>
      <c r="R1338" s="52"/>
      <c r="S1338" s="54"/>
      <c r="T1338" s="52"/>
      <c r="U1338" s="54">
        <f t="shared" si="86"/>
        <v>4980803.5714285718</v>
      </c>
      <c r="V1338" s="54">
        <f>'[2]оценка залог имущ.'!$B$20</f>
        <v>5578500</v>
      </c>
      <c r="W1338" s="52"/>
      <c r="X1338" s="52">
        <v>2012</v>
      </c>
      <c r="Y1338" s="52"/>
    </row>
    <row r="1339" spans="2:25" s="55" customFormat="1" ht="102" outlineLevel="1">
      <c r="B1339" s="52" t="s">
        <v>801</v>
      </c>
      <c r="C1339" s="78" t="s">
        <v>246</v>
      </c>
      <c r="D1339" s="52" t="s">
        <v>303</v>
      </c>
      <c r="E1339" s="56" t="s">
        <v>202</v>
      </c>
      <c r="F1339" s="56" t="s">
        <v>1579</v>
      </c>
      <c r="G1339" s="56"/>
      <c r="H1339" s="52" t="s">
        <v>243</v>
      </c>
      <c r="I1339" s="52">
        <v>100</v>
      </c>
      <c r="J1339" s="52">
        <v>230000000</v>
      </c>
      <c r="K1339" s="56" t="s">
        <v>118</v>
      </c>
      <c r="L1339" s="53" t="s">
        <v>1627</v>
      </c>
      <c r="M1339" s="56" t="s">
        <v>118</v>
      </c>
      <c r="N1339" s="52"/>
      <c r="O1339" s="53" t="s">
        <v>1976</v>
      </c>
      <c r="P1339" s="53" t="s">
        <v>1469</v>
      </c>
      <c r="Q1339" s="52"/>
      <c r="R1339" s="52"/>
      <c r="S1339" s="54"/>
      <c r="T1339" s="52"/>
      <c r="U1339" s="54">
        <f t="shared" si="86"/>
        <v>863230.35714285704</v>
      </c>
      <c r="V1339" s="54">
        <f>'[2]оценка залог имущ.'!$B$8</f>
        <v>966818</v>
      </c>
      <c r="W1339" s="52"/>
      <c r="X1339" s="52">
        <v>2012</v>
      </c>
      <c r="Y1339" s="52"/>
    </row>
    <row r="1340" spans="2:25" s="55" customFormat="1" ht="102" outlineLevel="1">
      <c r="B1340" s="52" t="s">
        <v>802</v>
      </c>
      <c r="C1340" s="78" t="s">
        <v>246</v>
      </c>
      <c r="D1340" s="52" t="s">
        <v>303</v>
      </c>
      <c r="E1340" s="56" t="s">
        <v>202</v>
      </c>
      <c r="F1340" s="56" t="s">
        <v>1579</v>
      </c>
      <c r="G1340" s="56"/>
      <c r="H1340" s="52" t="s">
        <v>243</v>
      </c>
      <c r="I1340" s="52">
        <v>100</v>
      </c>
      <c r="J1340" s="52">
        <v>630000000</v>
      </c>
      <c r="K1340" s="56" t="s">
        <v>97</v>
      </c>
      <c r="L1340" s="53" t="s">
        <v>1627</v>
      </c>
      <c r="M1340" s="56" t="s">
        <v>97</v>
      </c>
      <c r="N1340" s="52"/>
      <c r="O1340" s="53" t="s">
        <v>1627</v>
      </c>
      <c r="P1340" s="53" t="s">
        <v>1469</v>
      </c>
      <c r="Q1340" s="52"/>
      <c r="R1340" s="52"/>
      <c r="S1340" s="54"/>
      <c r="T1340" s="52"/>
      <c r="U1340" s="54">
        <f t="shared" si="86"/>
        <v>348214.28571428574</v>
      </c>
      <c r="V1340" s="54">
        <f>'[2]оценка залог имущ.'!$B$9</f>
        <v>390000</v>
      </c>
      <c r="W1340" s="52"/>
      <c r="X1340" s="52">
        <v>2012</v>
      </c>
      <c r="Y1340" s="52"/>
    </row>
    <row r="1341" spans="2:25" s="55" customFormat="1" ht="102" outlineLevel="1">
      <c r="B1341" s="52" t="s">
        <v>803</v>
      </c>
      <c r="C1341" s="78" t="s">
        <v>246</v>
      </c>
      <c r="D1341" s="52" t="s">
        <v>303</v>
      </c>
      <c r="E1341" s="56" t="s">
        <v>202</v>
      </c>
      <c r="F1341" s="56" t="s">
        <v>1579</v>
      </c>
      <c r="G1341" s="56"/>
      <c r="H1341" s="52" t="s">
        <v>243</v>
      </c>
      <c r="I1341" s="52">
        <v>100</v>
      </c>
      <c r="J1341" s="52">
        <v>310000000</v>
      </c>
      <c r="K1341" s="56" t="s">
        <v>119</v>
      </c>
      <c r="L1341" s="53" t="s">
        <v>1627</v>
      </c>
      <c r="M1341" s="56" t="s">
        <v>119</v>
      </c>
      <c r="N1341" s="52"/>
      <c r="O1341" s="53" t="s">
        <v>2180</v>
      </c>
      <c r="P1341" s="53" t="s">
        <v>1469</v>
      </c>
      <c r="Q1341" s="52"/>
      <c r="R1341" s="52"/>
      <c r="S1341" s="54"/>
      <c r="T1341" s="52"/>
      <c r="U1341" s="54">
        <f t="shared" si="86"/>
        <v>272321.42857142858</v>
      </c>
      <c r="V1341" s="54">
        <f>'[2]оценка залог имущ.'!$B$10</f>
        <v>305000</v>
      </c>
      <c r="W1341" s="52"/>
      <c r="X1341" s="52">
        <v>2012</v>
      </c>
      <c r="Y1341" s="52"/>
    </row>
    <row r="1342" spans="2:25" s="55" customFormat="1" ht="102" outlineLevel="1">
      <c r="B1342" s="52" t="s">
        <v>804</v>
      </c>
      <c r="C1342" s="78" t="s">
        <v>246</v>
      </c>
      <c r="D1342" s="52" t="s">
        <v>303</v>
      </c>
      <c r="E1342" s="56" t="s">
        <v>202</v>
      </c>
      <c r="F1342" s="56" t="s">
        <v>1579</v>
      </c>
      <c r="G1342" s="56"/>
      <c r="H1342" s="52" t="s">
        <v>243</v>
      </c>
      <c r="I1342" s="52">
        <v>100</v>
      </c>
      <c r="J1342" s="52">
        <v>270000000</v>
      </c>
      <c r="K1342" s="56" t="s">
        <v>98</v>
      </c>
      <c r="L1342" s="53" t="s">
        <v>1627</v>
      </c>
      <c r="M1342" s="56" t="s">
        <v>98</v>
      </c>
      <c r="N1342" s="52"/>
      <c r="O1342" s="53" t="s">
        <v>1627</v>
      </c>
      <c r="P1342" s="53" t="s">
        <v>1469</v>
      </c>
      <c r="Q1342" s="52"/>
      <c r="R1342" s="52"/>
      <c r="S1342" s="54"/>
      <c r="T1342" s="52"/>
      <c r="U1342" s="54">
        <f t="shared" si="86"/>
        <v>637500</v>
      </c>
      <c r="V1342" s="54">
        <f>'[2]оценка залог имущ.'!$B$11</f>
        <v>714000</v>
      </c>
      <c r="W1342" s="52"/>
      <c r="X1342" s="52">
        <v>2012</v>
      </c>
      <c r="Y1342" s="52"/>
    </row>
    <row r="1343" spans="2:25" s="55" customFormat="1" ht="102" outlineLevel="1">
      <c r="B1343" s="52" t="s">
        <v>805</v>
      </c>
      <c r="C1343" s="78" t="s">
        <v>246</v>
      </c>
      <c r="D1343" s="52" t="s">
        <v>303</v>
      </c>
      <c r="E1343" s="56" t="s">
        <v>202</v>
      </c>
      <c r="F1343" s="56" t="s">
        <v>1579</v>
      </c>
      <c r="G1343" s="56"/>
      <c r="H1343" s="52" t="s">
        <v>243</v>
      </c>
      <c r="I1343" s="52">
        <v>100</v>
      </c>
      <c r="J1343" s="52">
        <v>350000000</v>
      </c>
      <c r="K1343" s="56" t="s">
        <v>120</v>
      </c>
      <c r="L1343" s="53" t="s">
        <v>1627</v>
      </c>
      <c r="M1343" s="56" t="s">
        <v>120</v>
      </c>
      <c r="N1343" s="52"/>
      <c r="O1343" s="53" t="s">
        <v>1627</v>
      </c>
      <c r="P1343" s="53" t="s">
        <v>1469</v>
      </c>
      <c r="Q1343" s="52"/>
      <c r="R1343" s="52"/>
      <c r="S1343" s="54"/>
      <c r="T1343" s="52"/>
      <c r="U1343" s="54">
        <f t="shared" si="86"/>
        <v>1017857.142857143</v>
      </c>
      <c r="V1343" s="54">
        <f>'[2]оценка залог имущ.'!$B$12</f>
        <v>1140000</v>
      </c>
      <c r="W1343" s="52"/>
      <c r="X1343" s="52">
        <v>2012</v>
      </c>
      <c r="Y1343" s="52"/>
    </row>
    <row r="1344" spans="2:25" s="55" customFormat="1" ht="102" outlineLevel="1">
      <c r="B1344" s="52" t="s">
        <v>806</v>
      </c>
      <c r="C1344" s="78" t="s">
        <v>246</v>
      </c>
      <c r="D1344" s="52" t="s">
        <v>303</v>
      </c>
      <c r="E1344" s="56" t="s">
        <v>202</v>
      </c>
      <c r="F1344" s="56" t="s">
        <v>1579</v>
      </c>
      <c r="G1344" s="56"/>
      <c r="H1344" s="52" t="s">
        <v>243</v>
      </c>
      <c r="I1344" s="52">
        <v>100</v>
      </c>
      <c r="J1344" s="52">
        <v>390000000</v>
      </c>
      <c r="K1344" s="56" t="s">
        <v>121</v>
      </c>
      <c r="L1344" s="53" t="s">
        <v>2183</v>
      </c>
      <c r="M1344" s="56" t="s">
        <v>121</v>
      </c>
      <c r="N1344" s="52"/>
      <c r="O1344" s="53" t="s">
        <v>2183</v>
      </c>
      <c r="P1344" s="53" t="s">
        <v>1469</v>
      </c>
      <c r="Q1344" s="52"/>
      <c r="R1344" s="52"/>
      <c r="S1344" s="54"/>
      <c r="T1344" s="52"/>
      <c r="U1344" s="54">
        <f t="shared" si="86"/>
        <v>607142.85714285716</v>
      </c>
      <c r="V1344" s="54">
        <f>'[2]оценка залог имущ.'!$B$13</f>
        <v>680000</v>
      </c>
      <c r="W1344" s="52"/>
      <c r="X1344" s="52">
        <v>2012</v>
      </c>
      <c r="Y1344" s="52"/>
    </row>
    <row r="1345" spans="2:25" s="55" customFormat="1" ht="102" outlineLevel="1">
      <c r="B1345" s="52" t="s">
        <v>807</v>
      </c>
      <c r="C1345" s="78" t="s">
        <v>246</v>
      </c>
      <c r="D1345" s="52" t="s">
        <v>303</v>
      </c>
      <c r="E1345" s="56" t="s">
        <v>202</v>
      </c>
      <c r="F1345" s="56" t="s">
        <v>1579</v>
      </c>
      <c r="G1345" s="56"/>
      <c r="H1345" s="52" t="s">
        <v>243</v>
      </c>
      <c r="I1345" s="52">
        <v>100</v>
      </c>
      <c r="J1345" s="52">
        <v>430000000</v>
      </c>
      <c r="K1345" s="56" t="s">
        <v>122</v>
      </c>
      <c r="L1345" s="53" t="s">
        <v>1627</v>
      </c>
      <c r="M1345" s="56" t="s">
        <v>122</v>
      </c>
      <c r="N1345" s="52"/>
      <c r="O1345" s="53" t="s">
        <v>1627</v>
      </c>
      <c r="P1345" s="53" t="s">
        <v>1469</v>
      </c>
      <c r="Q1345" s="52"/>
      <c r="R1345" s="52"/>
      <c r="S1345" s="54"/>
      <c r="T1345" s="52"/>
      <c r="U1345" s="54">
        <f t="shared" si="86"/>
        <v>274883.92857142858</v>
      </c>
      <c r="V1345" s="54">
        <f>'[2]оценка залог имущ.'!$B$14</f>
        <v>307870</v>
      </c>
      <c r="W1345" s="52"/>
      <c r="X1345" s="52">
        <v>2012</v>
      </c>
      <c r="Y1345" s="52"/>
    </row>
    <row r="1346" spans="2:25" s="55" customFormat="1" ht="102" outlineLevel="1">
      <c r="B1346" s="52" t="s">
        <v>808</v>
      </c>
      <c r="C1346" s="78" t="s">
        <v>246</v>
      </c>
      <c r="D1346" s="52" t="s">
        <v>303</v>
      </c>
      <c r="E1346" s="56" t="s">
        <v>202</v>
      </c>
      <c r="F1346" s="56" t="s">
        <v>1579</v>
      </c>
      <c r="G1346" s="56"/>
      <c r="H1346" s="52" t="s">
        <v>243</v>
      </c>
      <c r="I1346" s="52">
        <v>100</v>
      </c>
      <c r="J1346" s="52">
        <v>470000000</v>
      </c>
      <c r="K1346" s="56" t="s">
        <v>123</v>
      </c>
      <c r="L1346" s="53" t="s">
        <v>1627</v>
      </c>
      <c r="M1346" s="56" t="s">
        <v>123</v>
      </c>
      <c r="N1346" s="52"/>
      <c r="O1346" s="53" t="s">
        <v>1627</v>
      </c>
      <c r="P1346" s="53" t="s">
        <v>1469</v>
      </c>
      <c r="Q1346" s="52"/>
      <c r="R1346" s="52"/>
      <c r="S1346" s="54"/>
      <c r="T1346" s="52"/>
      <c r="U1346" s="54">
        <f t="shared" si="86"/>
        <v>971120.53571428568</v>
      </c>
      <c r="V1346" s="54">
        <f>'[2]оценка залог имущ.'!$B$15</f>
        <v>1087655</v>
      </c>
      <c r="W1346" s="52"/>
      <c r="X1346" s="52">
        <v>2012</v>
      </c>
      <c r="Y1346" s="52"/>
    </row>
    <row r="1347" spans="2:25" s="55" customFormat="1" ht="102" outlineLevel="1">
      <c r="B1347" s="52" t="s">
        <v>809</v>
      </c>
      <c r="C1347" s="78" t="s">
        <v>246</v>
      </c>
      <c r="D1347" s="52" t="s">
        <v>303</v>
      </c>
      <c r="E1347" s="56" t="s">
        <v>202</v>
      </c>
      <c r="F1347" s="56" t="s">
        <v>1579</v>
      </c>
      <c r="G1347" s="56"/>
      <c r="H1347" s="52" t="s">
        <v>243</v>
      </c>
      <c r="I1347" s="52">
        <v>100</v>
      </c>
      <c r="J1347" s="52">
        <v>550000000</v>
      </c>
      <c r="K1347" s="56" t="s">
        <v>124</v>
      </c>
      <c r="L1347" s="53" t="s">
        <v>1627</v>
      </c>
      <c r="M1347" s="56" t="s">
        <v>124</v>
      </c>
      <c r="N1347" s="52"/>
      <c r="O1347" s="53" t="s">
        <v>1627</v>
      </c>
      <c r="P1347" s="53" t="s">
        <v>1469</v>
      </c>
      <c r="Q1347" s="52"/>
      <c r="R1347" s="52"/>
      <c r="S1347" s="54"/>
      <c r="T1347" s="52"/>
      <c r="U1347" s="54">
        <f t="shared" si="86"/>
        <v>156250</v>
      </c>
      <c r="V1347" s="54">
        <f>'[2]оценка залог имущ.'!$B$16</f>
        <v>175000</v>
      </c>
      <c r="W1347" s="52"/>
      <c r="X1347" s="52">
        <v>2012</v>
      </c>
      <c r="Y1347" s="52"/>
    </row>
    <row r="1348" spans="2:25" s="55" customFormat="1" ht="102" outlineLevel="1">
      <c r="B1348" s="52" t="s">
        <v>810</v>
      </c>
      <c r="C1348" s="78" t="s">
        <v>246</v>
      </c>
      <c r="D1348" s="52" t="s">
        <v>303</v>
      </c>
      <c r="E1348" s="56" t="s">
        <v>202</v>
      </c>
      <c r="F1348" s="56" t="s">
        <v>1579</v>
      </c>
      <c r="G1348" s="56"/>
      <c r="H1348" s="52" t="s">
        <v>243</v>
      </c>
      <c r="I1348" s="52">
        <v>100</v>
      </c>
      <c r="J1348" s="52">
        <v>590000000</v>
      </c>
      <c r="K1348" s="56" t="s">
        <v>103</v>
      </c>
      <c r="L1348" s="53" t="s">
        <v>1627</v>
      </c>
      <c r="M1348" s="56" t="s">
        <v>103</v>
      </c>
      <c r="N1348" s="52"/>
      <c r="O1348" s="53" t="s">
        <v>1627</v>
      </c>
      <c r="P1348" s="53" t="s">
        <v>1469</v>
      </c>
      <c r="Q1348" s="52"/>
      <c r="R1348" s="52"/>
      <c r="S1348" s="54"/>
      <c r="T1348" s="52"/>
      <c r="U1348" s="54">
        <f t="shared" si="86"/>
        <v>306696.42857142858</v>
      </c>
      <c r="V1348" s="54">
        <f>'[2]оценка залог имущ.'!$B$17</f>
        <v>343500</v>
      </c>
      <c r="W1348" s="52"/>
      <c r="X1348" s="52">
        <v>2012</v>
      </c>
      <c r="Y1348" s="52"/>
    </row>
    <row r="1349" spans="2:25" s="55" customFormat="1" ht="102" outlineLevel="1">
      <c r="B1349" s="52" t="s">
        <v>811</v>
      </c>
      <c r="C1349" s="78" t="s">
        <v>246</v>
      </c>
      <c r="D1349" s="52" t="s">
        <v>303</v>
      </c>
      <c r="E1349" s="56" t="s">
        <v>202</v>
      </c>
      <c r="F1349" s="56" t="s">
        <v>1579</v>
      </c>
      <c r="G1349" s="56"/>
      <c r="H1349" s="52" t="s">
        <v>243</v>
      </c>
      <c r="I1349" s="52">
        <v>100</v>
      </c>
      <c r="J1349" s="52">
        <v>510000000</v>
      </c>
      <c r="K1349" s="56" t="s">
        <v>104</v>
      </c>
      <c r="L1349" s="53" t="s">
        <v>1627</v>
      </c>
      <c r="M1349" s="56" t="s">
        <v>104</v>
      </c>
      <c r="N1349" s="52"/>
      <c r="O1349" s="53" t="s">
        <v>1627</v>
      </c>
      <c r="P1349" s="53" t="s">
        <v>1469</v>
      </c>
      <c r="Q1349" s="52"/>
      <c r="R1349" s="52"/>
      <c r="S1349" s="54"/>
      <c r="T1349" s="52"/>
      <c r="U1349" s="54">
        <f t="shared" si="86"/>
        <v>2164285.7142857141</v>
      </c>
      <c r="V1349" s="54">
        <f>'[2]оценка залог имущ.'!$B$18</f>
        <v>2424000</v>
      </c>
      <c r="W1349" s="52"/>
      <c r="X1349" s="52">
        <v>2012</v>
      </c>
      <c r="Y1349" s="52"/>
    </row>
    <row r="1350" spans="2:25" s="55" customFormat="1" ht="127.5" outlineLevel="1">
      <c r="B1350" s="52" t="s">
        <v>812</v>
      </c>
      <c r="C1350" s="78" t="s">
        <v>246</v>
      </c>
      <c r="D1350" s="52" t="s">
        <v>307</v>
      </c>
      <c r="E1350" s="56" t="s">
        <v>1850</v>
      </c>
      <c r="F1350" s="53" t="s">
        <v>1580</v>
      </c>
      <c r="G1350" s="53"/>
      <c r="H1350" s="56" t="s">
        <v>242</v>
      </c>
      <c r="I1350" s="52">
        <v>90</v>
      </c>
      <c r="J1350" s="52">
        <v>751000000</v>
      </c>
      <c r="K1350" s="53" t="s">
        <v>2290</v>
      </c>
      <c r="L1350" s="52" t="s">
        <v>1759</v>
      </c>
      <c r="M1350" s="53" t="s">
        <v>2290</v>
      </c>
      <c r="N1350" s="52"/>
      <c r="O1350" s="52" t="s">
        <v>1559</v>
      </c>
      <c r="P1350" s="53" t="s">
        <v>1475</v>
      </c>
      <c r="Q1350" s="52"/>
      <c r="R1350" s="52"/>
      <c r="S1350" s="54">
        <v>1</v>
      </c>
      <c r="T1350" s="52"/>
      <c r="U1350" s="54">
        <f t="shared" si="86"/>
        <v>17857142.857142858</v>
      </c>
      <c r="V1350" s="54">
        <v>20000000</v>
      </c>
      <c r="W1350" s="52"/>
      <c r="X1350" s="52">
        <v>2012</v>
      </c>
      <c r="Y1350" s="52"/>
    </row>
    <row r="1351" spans="2:25" s="55" customFormat="1" ht="127.5" outlineLevel="1">
      <c r="B1351" s="52" t="s">
        <v>813</v>
      </c>
      <c r="C1351" s="78" t="s">
        <v>246</v>
      </c>
      <c r="D1351" s="52" t="s">
        <v>304</v>
      </c>
      <c r="E1351" s="56" t="s">
        <v>198</v>
      </c>
      <c r="F1351" s="53" t="s">
        <v>1582</v>
      </c>
      <c r="G1351" s="53"/>
      <c r="H1351" s="53" t="s">
        <v>243</v>
      </c>
      <c r="I1351" s="52">
        <v>100</v>
      </c>
      <c r="J1351" s="52">
        <v>110000000</v>
      </c>
      <c r="K1351" s="56" t="s">
        <v>125</v>
      </c>
      <c r="L1351" s="53" t="s">
        <v>2302</v>
      </c>
      <c r="M1351" s="56" t="s">
        <v>125</v>
      </c>
      <c r="N1351" s="52"/>
      <c r="O1351" s="53" t="s">
        <v>1801</v>
      </c>
      <c r="P1351" s="53" t="s">
        <v>1796</v>
      </c>
      <c r="Q1351" s="52"/>
      <c r="R1351" s="52"/>
      <c r="S1351" s="54">
        <v>2</v>
      </c>
      <c r="T1351" s="52"/>
      <c r="U1351" s="54">
        <f t="shared" si="86"/>
        <v>0</v>
      </c>
      <c r="V1351" s="54">
        <v>0</v>
      </c>
      <c r="W1351" s="52"/>
      <c r="X1351" s="52">
        <v>2012</v>
      </c>
      <c r="Y1351" s="52">
        <v>11.14</v>
      </c>
    </row>
    <row r="1352" spans="2:25" s="55" customFormat="1" ht="127.5" outlineLevel="1">
      <c r="B1352" s="52" t="s">
        <v>2861</v>
      </c>
      <c r="C1352" s="78" t="s">
        <v>246</v>
      </c>
      <c r="D1352" s="52" t="s">
        <v>304</v>
      </c>
      <c r="E1352" s="56" t="s">
        <v>198</v>
      </c>
      <c r="F1352" s="53" t="s">
        <v>1582</v>
      </c>
      <c r="G1352" s="53"/>
      <c r="H1352" s="53" t="s">
        <v>243</v>
      </c>
      <c r="I1352" s="52">
        <v>100</v>
      </c>
      <c r="J1352" s="52">
        <v>110000000</v>
      </c>
      <c r="K1352" s="56" t="s">
        <v>125</v>
      </c>
      <c r="L1352" s="53" t="s">
        <v>2862</v>
      </c>
      <c r="M1352" s="56" t="s">
        <v>125</v>
      </c>
      <c r="N1352" s="52"/>
      <c r="O1352" s="53" t="s">
        <v>2385</v>
      </c>
      <c r="P1352" s="53" t="s">
        <v>1796</v>
      </c>
      <c r="Q1352" s="52"/>
      <c r="R1352" s="52"/>
      <c r="S1352" s="54">
        <v>2</v>
      </c>
      <c r="T1352" s="52"/>
      <c r="U1352" s="54">
        <f t="shared" si="86"/>
        <v>2501730.8441558443</v>
      </c>
      <c r="V1352" s="54">
        <f>[10]лекторы!$G$139</f>
        <v>2801938.5454545454</v>
      </c>
      <c r="W1352" s="52"/>
      <c r="X1352" s="52">
        <v>2012</v>
      </c>
      <c r="Y1352" s="52"/>
    </row>
    <row r="1353" spans="2:25" s="55" customFormat="1" ht="127.5" outlineLevel="1">
      <c r="B1353" s="52" t="s">
        <v>814</v>
      </c>
      <c r="C1353" s="78" t="s">
        <v>246</v>
      </c>
      <c r="D1353" s="52" t="s">
        <v>304</v>
      </c>
      <c r="E1353" s="56" t="s">
        <v>198</v>
      </c>
      <c r="F1353" s="53" t="s">
        <v>1582</v>
      </c>
      <c r="G1353" s="53"/>
      <c r="H1353" s="53" t="s">
        <v>245</v>
      </c>
      <c r="I1353" s="52">
        <v>100</v>
      </c>
      <c r="J1353" s="52">
        <v>150000000</v>
      </c>
      <c r="K1353" s="56" t="s">
        <v>126</v>
      </c>
      <c r="L1353" s="53" t="s">
        <v>2483</v>
      </c>
      <c r="M1353" s="56" t="s">
        <v>126</v>
      </c>
      <c r="N1353" s="52"/>
      <c r="O1353" s="53" t="s">
        <v>2484</v>
      </c>
      <c r="P1353" s="53" t="s">
        <v>1796</v>
      </c>
      <c r="Q1353" s="52"/>
      <c r="R1353" s="52"/>
      <c r="S1353" s="54">
        <v>2</v>
      </c>
      <c r="T1353" s="52"/>
      <c r="U1353" s="54">
        <f t="shared" si="86"/>
        <v>0</v>
      </c>
      <c r="V1353" s="54">
        <v>0</v>
      </c>
      <c r="W1353" s="52"/>
      <c r="X1353" s="52">
        <v>2012</v>
      </c>
      <c r="Y1353" s="52">
        <v>11.14</v>
      </c>
    </row>
    <row r="1354" spans="2:25" s="55" customFormat="1" ht="127.5" outlineLevel="1">
      <c r="B1354" s="52" t="s">
        <v>2863</v>
      </c>
      <c r="C1354" s="78" t="s">
        <v>246</v>
      </c>
      <c r="D1354" s="52" t="s">
        <v>304</v>
      </c>
      <c r="E1354" s="56" t="s">
        <v>198</v>
      </c>
      <c r="F1354" s="53" t="s">
        <v>1582</v>
      </c>
      <c r="G1354" s="53"/>
      <c r="H1354" s="53" t="s">
        <v>245</v>
      </c>
      <c r="I1354" s="52">
        <v>100</v>
      </c>
      <c r="J1354" s="52">
        <v>150000000</v>
      </c>
      <c r="K1354" s="56" t="s">
        <v>126</v>
      </c>
      <c r="L1354" s="53" t="s">
        <v>2862</v>
      </c>
      <c r="M1354" s="56" t="s">
        <v>126</v>
      </c>
      <c r="N1354" s="52"/>
      <c r="O1354" s="53" t="s">
        <v>2385</v>
      </c>
      <c r="P1354" s="53" t="s">
        <v>1796</v>
      </c>
      <c r="Q1354" s="52"/>
      <c r="R1354" s="52"/>
      <c r="S1354" s="54">
        <v>2</v>
      </c>
      <c r="T1354" s="52"/>
      <c r="U1354" s="54">
        <f t="shared" si="86"/>
        <v>2833183.9285714286</v>
      </c>
      <c r="V1354" s="54">
        <f>SUM(2446198+726968)</f>
        <v>3173166</v>
      </c>
      <c r="W1354" s="52"/>
      <c r="X1354" s="52">
        <v>2012</v>
      </c>
      <c r="Y1354" s="52"/>
    </row>
    <row r="1355" spans="2:25" s="55" customFormat="1" ht="127.5" outlineLevel="1">
      <c r="B1355" s="52" t="s">
        <v>815</v>
      </c>
      <c r="C1355" s="78" t="s">
        <v>246</v>
      </c>
      <c r="D1355" s="52" t="s">
        <v>304</v>
      </c>
      <c r="E1355" s="56" t="s">
        <v>198</v>
      </c>
      <c r="F1355" s="53" t="s">
        <v>1582</v>
      </c>
      <c r="G1355" s="53"/>
      <c r="H1355" s="53" t="s">
        <v>245</v>
      </c>
      <c r="I1355" s="52">
        <v>100</v>
      </c>
      <c r="J1355" s="52">
        <v>190000000</v>
      </c>
      <c r="K1355" s="56" t="s">
        <v>117</v>
      </c>
      <c r="L1355" s="53" t="s">
        <v>1574</v>
      </c>
      <c r="M1355" s="56" t="s">
        <v>117</v>
      </c>
      <c r="N1355" s="52"/>
      <c r="O1355" s="53" t="s">
        <v>2482</v>
      </c>
      <c r="P1355" s="53" t="s">
        <v>1796</v>
      </c>
      <c r="Q1355" s="52"/>
      <c r="R1355" s="52"/>
      <c r="S1355" s="54">
        <v>2</v>
      </c>
      <c r="T1355" s="52"/>
      <c r="U1355" s="54">
        <f t="shared" si="86"/>
        <v>0</v>
      </c>
      <c r="V1355" s="54">
        <v>0</v>
      </c>
      <c r="W1355" s="52"/>
      <c r="X1355" s="52">
        <v>2012</v>
      </c>
      <c r="Y1355" s="52">
        <v>11.14</v>
      </c>
    </row>
    <row r="1356" spans="2:25" s="55" customFormat="1" ht="127.5" outlineLevel="1">
      <c r="B1356" s="52" t="s">
        <v>2864</v>
      </c>
      <c r="C1356" s="78" t="s">
        <v>246</v>
      </c>
      <c r="D1356" s="52" t="s">
        <v>304</v>
      </c>
      <c r="E1356" s="56" t="s">
        <v>198</v>
      </c>
      <c r="F1356" s="53" t="s">
        <v>1582</v>
      </c>
      <c r="G1356" s="53"/>
      <c r="H1356" s="53" t="s">
        <v>245</v>
      </c>
      <c r="I1356" s="52">
        <v>100</v>
      </c>
      <c r="J1356" s="52">
        <v>190000000</v>
      </c>
      <c r="K1356" s="56" t="s">
        <v>117</v>
      </c>
      <c r="L1356" s="53" t="s">
        <v>2862</v>
      </c>
      <c r="M1356" s="56" t="s">
        <v>117</v>
      </c>
      <c r="N1356" s="52"/>
      <c r="O1356" s="53" t="s">
        <v>2385</v>
      </c>
      <c r="P1356" s="53" t="s">
        <v>1796</v>
      </c>
      <c r="Q1356" s="52"/>
      <c r="R1356" s="52"/>
      <c r="S1356" s="54">
        <v>2</v>
      </c>
      <c r="T1356" s="52"/>
      <c r="U1356" s="54">
        <f t="shared" si="86"/>
        <v>6325788.3928571427</v>
      </c>
      <c r="V1356" s="54">
        <f>SUM(2881048+4203835)</f>
        <v>7084883</v>
      </c>
      <c r="W1356" s="52"/>
      <c r="X1356" s="52">
        <v>2012</v>
      </c>
      <c r="Y1356" s="52"/>
    </row>
    <row r="1357" spans="2:25" s="55" customFormat="1" ht="140.25" outlineLevel="1">
      <c r="B1357" s="52" t="s">
        <v>816</v>
      </c>
      <c r="C1357" s="78" t="s">
        <v>246</v>
      </c>
      <c r="D1357" s="52" t="s">
        <v>304</v>
      </c>
      <c r="E1357" s="56" t="s">
        <v>198</v>
      </c>
      <c r="F1357" s="53" t="s">
        <v>2307</v>
      </c>
      <c r="G1357" s="53"/>
      <c r="H1357" s="53" t="s">
        <v>243</v>
      </c>
      <c r="I1357" s="52">
        <v>100</v>
      </c>
      <c r="J1357" s="52">
        <v>711000000</v>
      </c>
      <c r="K1357" s="56" t="s">
        <v>151</v>
      </c>
      <c r="L1357" s="81" t="s">
        <v>1712</v>
      </c>
      <c r="M1357" s="53" t="s">
        <v>1816</v>
      </c>
      <c r="N1357" s="52"/>
      <c r="O1357" s="53" t="s">
        <v>1712</v>
      </c>
      <c r="P1357" s="53" t="s">
        <v>1796</v>
      </c>
      <c r="Q1357" s="52"/>
      <c r="R1357" s="52"/>
      <c r="S1357" s="54">
        <v>2</v>
      </c>
      <c r="T1357" s="52"/>
      <c r="U1357" s="54">
        <f t="shared" si="86"/>
        <v>0</v>
      </c>
      <c r="V1357" s="54">
        <v>0</v>
      </c>
      <c r="W1357" s="52"/>
      <c r="X1357" s="52">
        <v>2012</v>
      </c>
      <c r="Y1357" s="52">
        <v>21</v>
      </c>
    </row>
    <row r="1358" spans="2:25" s="55" customFormat="1" ht="140.25" outlineLevel="1">
      <c r="B1358" s="52" t="s">
        <v>2728</v>
      </c>
      <c r="C1358" s="78" t="s">
        <v>246</v>
      </c>
      <c r="D1358" s="52" t="s">
        <v>304</v>
      </c>
      <c r="E1358" s="56" t="s">
        <v>198</v>
      </c>
      <c r="F1358" s="53" t="s">
        <v>2307</v>
      </c>
      <c r="G1358" s="53"/>
      <c r="H1358" s="53" t="s">
        <v>245</v>
      </c>
      <c r="I1358" s="52">
        <v>100</v>
      </c>
      <c r="J1358" s="52">
        <v>711000000</v>
      </c>
      <c r="K1358" s="56" t="s">
        <v>151</v>
      </c>
      <c r="L1358" s="81" t="s">
        <v>1712</v>
      </c>
      <c r="M1358" s="53" t="s">
        <v>1816</v>
      </c>
      <c r="N1358" s="52"/>
      <c r="O1358" s="53" t="s">
        <v>1712</v>
      </c>
      <c r="P1358" s="53" t="s">
        <v>1796</v>
      </c>
      <c r="Q1358" s="52"/>
      <c r="R1358" s="52"/>
      <c r="S1358" s="54">
        <v>2</v>
      </c>
      <c r="T1358" s="52"/>
      <c r="U1358" s="54">
        <f t="shared" si="86"/>
        <v>0</v>
      </c>
      <c r="V1358" s="54">
        <v>0</v>
      </c>
      <c r="W1358" s="52"/>
      <c r="X1358" s="52">
        <v>2012</v>
      </c>
      <c r="Y1358" s="52">
        <v>11.14</v>
      </c>
    </row>
    <row r="1359" spans="2:25" s="55" customFormat="1" ht="140.25" outlineLevel="1">
      <c r="B1359" s="52" t="s">
        <v>2865</v>
      </c>
      <c r="C1359" s="78" t="s">
        <v>246</v>
      </c>
      <c r="D1359" s="52" t="s">
        <v>304</v>
      </c>
      <c r="E1359" s="56" t="s">
        <v>198</v>
      </c>
      <c r="F1359" s="53" t="s">
        <v>2307</v>
      </c>
      <c r="G1359" s="53"/>
      <c r="H1359" s="53" t="s">
        <v>245</v>
      </c>
      <c r="I1359" s="52">
        <v>100</v>
      </c>
      <c r="J1359" s="52">
        <v>711000000</v>
      </c>
      <c r="K1359" s="56" t="s">
        <v>151</v>
      </c>
      <c r="L1359" s="53" t="s">
        <v>2862</v>
      </c>
      <c r="M1359" s="53" t="s">
        <v>1816</v>
      </c>
      <c r="N1359" s="52"/>
      <c r="O1359" s="53" t="s">
        <v>2385</v>
      </c>
      <c r="P1359" s="53" t="s">
        <v>1796</v>
      </c>
      <c r="Q1359" s="52"/>
      <c r="R1359" s="52"/>
      <c r="S1359" s="54">
        <v>2</v>
      </c>
      <c r="T1359" s="52"/>
      <c r="U1359" s="54">
        <f t="shared" si="86"/>
        <v>4200000</v>
      </c>
      <c r="V1359" s="54">
        <f>2087919+2616081</f>
        <v>4704000</v>
      </c>
      <c r="W1359" s="52"/>
      <c r="X1359" s="52">
        <v>2012</v>
      </c>
      <c r="Y1359" s="52"/>
    </row>
    <row r="1360" spans="2:25" s="55" customFormat="1" ht="127.5" outlineLevel="1">
      <c r="B1360" s="52" t="s">
        <v>817</v>
      </c>
      <c r="C1360" s="78" t="s">
        <v>246</v>
      </c>
      <c r="D1360" s="52" t="s">
        <v>304</v>
      </c>
      <c r="E1360" s="56" t="s">
        <v>198</v>
      </c>
      <c r="F1360" s="53" t="s">
        <v>1582</v>
      </c>
      <c r="G1360" s="53"/>
      <c r="H1360" s="53" t="s">
        <v>245</v>
      </c>
      <c r="I1360" s="52">
        <v>100</v>
      </c>
      <c r="J1360" s="52">
        <v>751000000</v>
      </c>
      <c r="K1360" s="63" t="s">
        <v>1437</v>
      </c>
      <c r="L1360" s="53" t="s">
        <v>1548</v>
      </c>
      <c r="M1360" s="63" t="s">
        <v>1437</v>
      </c>
      <c r="N1360" s="52"/>
      <c r="O1360" s="53" t="s">
        <v>2482</v>
      </c>
      <c r="P1360" s="53" t="s">
        <v>1796</v>
      </c>
      <c r="Q1360" s="52"/>
      <c r="R1360" s="52"/>
      <c r="S1360" s="54">
        <v>2</v>
      </c>
      <c r="T1360" s="52"/>
      <c r="U1360" s="54">
        <f t="shared" si="86"/>
        <v>0</v>
      </c>
      <c r="V1360" s="54">
        <v>0</v>
      </c>
      <c r="W1360" s="52"/>
      <c r="X1360" s="52">
        <v>2012</v>
      </c>
      <c r="Y1360" s="52">
        <v>11.14</v>
      </c>
    </row>
    <row r="1361" spans="2:25" s="55" customFormat="1" ht="127.5" outlineLevel="1">
      <c r="B1361" s="52" t="s">
        <v>2866</v>
      </c>
      <c r="C1361" s="78" t="s">
        <v>246</v>
      </c>
      <c r="D1361" s="52" t="s">
        <v>304</v>
      </c>
      <c r="E1361" s="56" t="s">
        <v>198</v>
      </c>
      <c r="F1361" s="53" t="s">
        <v>1582</v>
      </c>
      <c r="G1361" s="53"/>
      <c r="H1361" s="53" t="s">
        <v>245</v>
      </c>
      <c r="I1361" s="52">
        <v>100</v>
      </c>
      <c r="J1361" s="52">
        <v>751000000</v>
      </c>
      <c r="K1361" s="63" t="s">
        <v>1437</v>
      </c>
      <c r="L1361" s="53" t="s">
        <v>2862</v>
      </c>
      <c r="M1361" s="63" t="s">
        <v>1437</v>
      </c>
      <c r="N1361" s="52"/>
      <c r="O1361" s="53" t="s">
        <v>2385</v>
      </c>
      <c r="P1361" s="53" t="s">
        <v>1796</v>
      </c>
      <c r="Q1361" s="52"/>
      <c r="R1361" s="52"/>
      <c r="S1361" s="54">
        <v>2</v>
      </c>
      <c r="T1361" s="52"/>
      <c r="U1361" s="54">
        <f t="shared" si="86"/>
        <v>5824000</v>
      </c>
      <c r="V1361" s="54">
        <f>SUM(1158195+5364685)</f>
        <v>6522880</v>
      </c>
      <c r="W1361" s="52"/>
      <c r="X1361" s="52">
        <v>2012</v>
      </c>
      <c r="Y1361" s="52"/>
    </row>
    <row r="1362" spans="2:25" s="55" customFormat="1" ht="127.5" outlineLevel="1">
      <c r="B1362" s="52" t="s">
        <v>818</v>
      </c>
      <c r="C1362" s="78" t="s">
        <v>246</v>
      </c>
      <c r="D1362" s="52" t="s">
        <v>304</v>
      </c>
      <c r="E1362" s="56" t="s">
        <v>198</v>
      </c>
      <c r="F1362" s="53" t="s">
        <v>1582</v>
      </c>
      <c r="G1362" s="53"/>
      <c r="H1362" s="53" t="s">
        <v>243</v>
      </c>
      <c r="I1362" s="52">
        <v>100</v>
      </c>
      <c r="J1362" s="52">
        <v>230000000</v>
      </c>
      <c r="K1362" s="56" t="s">
        <v>118</v>
      </c>
      <c r="L1362" s="53" t="s">
        <v>1574</v>
      </c>
      <c r="M1362" s="56" t="s">
        <v>118</v>
      </c>
      <c r="N1362" s="52"/>
      <c r="O1362" s="53" t="s">
        <v>2136</v>
      </c>
      <c r="P1362" s="53" t="s">
        <v>1475</v>
      </c>
      <c r="Q1362" s="52"/>
      <c r="R1362" s="52"/>
      <c r="S1362" s="54">
        <v>2</v>
      </c>
      <c r="T1362" s="52"/>
      <c r="U1362" s="54">
        <f t="shared" si="86"/>
        <v>0</v>
      </c>
      <c r="V1362" s="54">
        <v>0</v>
      </c>
      <c r="W1362" s="52"/>
      <c r="X1362" s="52">
        <v>2012</v>
      </c>
      <c r="Y1362" s="52">
        <v>11.14</v>
      </c>
    </row>
    <row r="1363" spans="2:25" s="55" customFormat="1" ht="127.5" outlineLevel="1">
      <c r="B1363" s="52" t="s">
        <v>2867</v>
      </c>
      <c r="C1363" s="78" t="s">
        <v>246</v>
      </c>
      <c r="D1363" s="52" t="s">
        <v>304</v>
      </c>
      <c r="E1363" s="56" t="s">
        <v>198</v>
      </c>
      <c r="F1363" s="53" t="s">
        <v>1582</v>
      </c>
      <c r="G1363" s="53"/>
      <c r="H1363" s="53" t="s">
        <v>243</v>
      </c>
      <c r="I1363" s="52">
        <v>100</v>
      </c>
      <c r="J1363" s="52">
        <v>230000000</v>
      </c>
      <c r="K1363" s="56" t="s">
        <v>118</v>
      </c>
      <c r="L1363" s="53" t="s">
        <v>2862</v>
      </c>
      <c r="M1363" s="56" t="s">
        <v>118</v>
      </c>
      <c r="N1363" s="52"/>
      <c r="O1363" s="53" t="s">
        <v>2385</v>
      </c>
      <c r="P1363" s="53" t="s">
        <v>1475</v>
      </c>
      <c r="Q1363" s="52"/>
      <c r="R1363" s="52"/>
      <c r="S1363" s="54">
        <v>2</v>
      </c>
      <c r="T1363" s="52"/>
      <c r="U1363" s="54">
        <f t="shared" si="86"/>
        <v>2029546.753246753</v>
      </c>
      <c r="V1363" s="54">
        <f>[10]лекторы!$G$142</f>
        <v>2273092.3636363633</v>
      </c>
      <c r="W1363" s="52"/>
      <c r="X1363" s="52">
        <v>2012</v>
      </c>
      <c r="Y1363" s="52"/>
    </row>
    <row r="1364" spans="2:25" s="55" customFormat="1" ht="127.5" outlineLevel="1">
      <c r="B1364" s="52" t="s">
        <v>819</v>
      </c>
      <c r="C1364" s="78" t="s">
        <v>246</v>
      </c>
      <c r="D1364" s="52" t="s">
        <v>304</v>
      </c>
      <c r="E1364" s="56" t="s">
        <v>198</v>
      </c>
      <c r="F1364" s="53" t="s">
        <v>1582</v>
      </c>
      <c r="G1364" s="53"/>
      <c r="H1364" s="53" t="s">
        <v>245</v>
      </c>
      <c r="I1364" s="52">
        <v>100</v>
      </c>
      <c r="J1364" s="52">
        <v>630000000</v>
      </c>
      <c r="K1364" s="56" t="s">
        <v>97</v>
      </c>
      <c r="L1364" s="53" t="s">
        <v>1799</v>
      </c>
      <c r="M1364" s="56" t="s">
        <v>97</v>
      </c>
      <c r="N1364" s="52"/>
      <c r="O1364" s="53" t="s">
        <v>2371</v>
      </c>
      <c r="P1364" s="53" t="s">
        <v>1796</v>
      </c>
      <c r="Q1364" s="52"/>
      <c r="R1364" s="52"/>
      <c r="S1364" s="54">
        <v>2</v>
      </c>
      <c r="T1364" s="52"/>
      <c r="U1364" s="54">
        <f t="shared" si="86"/>
        <v>0</v>
      </c>
      <c r="V1364" s="54">
        <v>0</v>
      </c>
      <c r="W1364" s="52"/>
      <c r="X1364" s="52">
        <v>2012</v>
      </c>
      <c r="Y1364" s="52">
        <v>11.14</v>
      </c>
    </row>
    <row r="1365" spans="2:25" s="55" customFormat="1" ht="127.5" outlineLevel="1">
      <c r="B1365" s="52" t="s">
        <v>2868</v>
      </c>
      <c r="C1365" s="78" t="s">
        <v>246</v>
      </c>
      <c r="D1365" s="52" t="s">
        <v>304</v>
      </c>
      <c r="E1365" s="56" t="s">
        <v>198</v>
      </c>
      <c r="F1365" s="53" t="s">
        <v>1582</v>
      </c>
      <c r="G1365" s="53"/>
      <c r="H1365" s="53" t="s">
        <v>245</v>
      </c>
      <c r="I1365" s="52">
        <v>100</v>
      </c>
      <c r="J1365" s="52">
        <v>630000000</v>
      </c>
      <c r="K1365" s="56" t="s">
        <v>97</v>
      </c>
      <c r="L1365" s="53" t="s">
        <v>2862</v>
      </c>
      <c r="M1365" s="56" t="s">
        <v>97</v>
      </c>
      <c r="N1365" s="52"/>
      <c r="O1365" s="53" t="s">
        <v>2385</v>
      </c>
      <c r="P1365" s="53" t="s">
        <v>1796</v>
      </c>
      <c r="Q1365" s="52"/>
      <c r="R1365" s="52"/>
      <c r="S1365" s="54">
        <v>2</v>
      </c>
      <c r="T1365" s="52"/>
      <c r="U1365" s="54">
        <f t="shared" ref="U1365" si="88">V1365/112*100</f>
        <v>4015974.1071428573</v>
      </c>
      <c r="V1365" s="54">
        <f>SUM(2997150+1500741)</f>
        <v>4497891</v>
      </c>
      <c r="W1365" s="52"/>
      <c r="X1365" s="52">
        <v>2012</v>
      </c>
      <c r="Y1365" s="52"/>
    </row>
    <row r="1366" spans="2:25" s="55" customFormat="1" ht="127.5" outlineLevel="1">
      <c r="B1366" s="52" t="s">
        <v>820</v>
      </c>
      <c r="C1366" s="78" t="s">
        <v>246</v>
      </c>
      <c r="D1366" s="52" t="s">
        <v>304</v>
      </c>
      <c r="E1366" s="56" t="s">
        <v>198</v>
      </c>
      <c r="F1366" s="53" t="s">
        <v>1582</v>
      </c>
      <c r="G1366" s="53"/>
      <c r="H1366" s="53" t="s">
        <v>245</v>
      </c>
      <c r="I1366" s="52">
        <v>100</v>
      </c>
      <c r="J1366" s="52">
        <v>310000000</v>
      </c>
      <c r="K1366" s="56" t="s">
        <v>119</v>
      </c>
      <c r="L1366" s="53" t="s">
        <v>1801</v>
      </c>
      <c r="M1366" s="56" t="s">
        <v>119</v>
      </c>
      <c r="N1366" s="52"/>
      <c r="O1366" s="53" t="s">
        <v>2371</v>
      </c>
      <c r="P1366" s="53" t="s">
        <v>1796</v>
      </c>
      <c r="Q1366" s="52"/>
      <c r="R1366" s="52"/>
      <c r="S1366" s="54">
        <v>2</v>
      </c>
      <c r="T1366" s="52"/>
      <c r="U1366" s="54">
        <f>V1366/112*100</f>
        <v>0</v>
      </c>
      <c r="V1366" s="54">
        <v>0</v>
      </c>
      <c r="W1366" s="52"/>
      <c r="X1366" s="52">
        <v>2012</v>
      </c>
      <c r="Y1366" s="52">
        <v>11.14</v>
      </c>
    </row>
    <row r="1367" spans="2:25" s="55" customFormat="1" ht="127.5" outlineLevel="1">
      <c r="B1367" s="52" t="s">
        <v>2869</v>
      </c>
      <c r="C1367" s="78" t="s">
        <v>246</v>
      </c>
      <c r="D1367" s="52" t="s">
        <v>304</v>
      </c>
      <c r="E1367" s="56" t="s">
        <v>198</v>
      </c>
      <c r="F1367" s="53" t="s">
        <v>1582</v>
      </c>
      <c r="G1367" s="53"/>
      <c r="H1367" s="53" t="s">
        <v>245</v>
      </c>
      <c r="I1367" s="52">
        <v>100</v>
      </c>
      <c r="J1367" s="52">
        <v>310000000</v>
      </c>
      <c r="K1367" s="56" t="s">
        <v>119</v>
      </c>
      <c r="L1367" s="53" t="s">
        <v>2862</v>
      </c>
      <c r="M1367" s="56" t="s">
        <v>119</v>
      </c>
      <c r="N1367" s="52"/>
      <c r="O1367" s="53" t="s">
        <v>2385</v>
      </c>
      <c r="P1367" s="53" t="s">
        <v>1796</v>
      </c>
      <c r="Q1367" s="52"/>
      <c r="R1367" s="52"/>
      <c r="S1367" s="54">
        <v>2</v>
      </c>
      <c r="T1367" s="52"/>
      <c r="U1367" s="54">
        <f>V1367/112*100</f>
        <v>2964224.1071428573</v>
      </c>
      <c r="V1367" s="54">
        <v>3319931</v>
      </c>
      <c r="W1367" s="52"/>
      <c r="X1367" s="52">
        <v>2012</v>
      </c>
      <c r="Y1367" s="52"/>
    </row>
    <row r="1368" spans="2:25" s="55" customFormat="1" ht="127.5" outlineLevel="1">
      <c r="B1368" s="52" t="s">
        <v>821</v>
      </c>
      <c r="C1368" s="78" t="s">
        <v>246</v>
      </c>
      <c r="D1368" s="52" t="s">
        <v>304</v>
      </c>
      <c r="E1368" s="56" t="s">
        <v>198</v>
      </c>
      <c r="F1368" s="53" t="s">
        <v>1582</v>
      </c>
      <c r="G1368" s="53"/>
      <c r="H1368" s="53" t="s">
        <v>245</v>
      </c>
      <c r="I1368" s="52">
        <v>100</v>
      </c>
      <c r="J1368" s="52">
        <v>270000000</v>
      </c>
      <c r="K1368" s="56" t="s">
        <v>98</v>
      </c>
      <c r="L1368" s="53" t="s">
        <v>1574</v>
      </c>
      <c r="M1368" s="56" t="s">
        <v>98</v>
      </c>
      <c r="N1368" s="52"/>
      <c r="O1368" s="53" t="s">
        <v>2481</v>
      </c>
      <c r="P1368" s="53" t="s">
        <v>1796</v>
      </c>
      <c r="Q1368" s="52"/>
      <c r="R1368" s="52"/>
      <c r="S1368" s="54">
        <v>2</v>
      </c>
      <c r="T1368" s="52"/>
      <c r="U1368" s="54">
        <f>V1368/112*100</f>
        <v>0</v>
      </c>
      <c r="V1368" s="54">
        <v>0</v>
      </c>
      <c r="W1368" s="52"/>
      <c r="X1368" s="52">
        <v>2012</v>
      </c>
      <c r="Y1368" s="52">
        <v>11.14</v>
      </c>
    </row>
    <row r="1369" spans="2:25" s="55" customFormat="1" ht="127.5" outlineLevel="1">
      <c r="B1369" s="52" t="s">
        <v>2870</v>
      </c>
      <c r="C1369" s="78" t="s">
        <v>246</v>
      </c>
      <c r="D1369" s="52" t="s">
        <v>304</v>
      </c>
      <c r="E1369" s="56" t="s">
        <v>198</v>
      </c>
      <c r="F1369" s="53" t="s">
        <v>1582</v>
      </c>
      <c r="G1369" s="53"/>
      <c r="H1369" s="53" t="s">
        <v>245</v>
      </c>
      <c r="I1369" s="52">
        <v>100</v>
      </c>
      <c r="J1369" s="52">
        <v>270000000</v>
      </c>
      <c r="K1369" s="56" t="s">
        <v>98</v>
      </c>
      <c r="L1369" s="53" t="s">
        <v>2862</v>
      </c>
      <c r="M1369" s="56" t="s">
        <v>98</v>
      </c>
      <c r="N1369" s="52"/>
      <c r="O1369" s="53" t="s">
        <v>2385</v>
      </c>
      <c r="P1369" s="53" t="s">
        <v>1796</v>
      </c>
      <c r="Q1369" s="52"/>
      <c r="R1369" s="52"/>
      <c r="S1369" s="54">
        <v>2</v>
      </c>
      <c r="T1369" s="52"/>
      <c r="U1369" s="54">
        <f>V1369/112*100</f>
        <v>3055935.7142857141</v>
      </c>
      <c r="V1369" s="54">
        <f>SUM(2437134+985514)</f>
        <v>3422648</v>
      </c>
      <c r="W1369" s="52"/>
      <c r="X1369" s="52">
        <v>2012</v>
      </c>
      <c r="Y1369" s="52"/>
    </row>
    <row r="1370" spans="2:25" s="55" customFormat="1" ht="127.5" outlineLevel="1">
      <c r="B1370" s="52" t="s">
        <v>822</v>
      </c>
      <c r="C1370" s="78" t="s">
        <v>246</v>
      </c>
      <c r="D1370" s="52" t="s">
        <v>304</v>
      </c>
      <c r="E1370" s="56" t="s">
        <v>198</v>
      </c>
      <c r="F1370" s="53" t="s">
        <v>1582</v>
      </c>
      <c r="G1370" s="53"/>
      <c r="H1370" s="53" t="s">
        <v>245</v>
      </c>
      <c r="I1370" s="52">
        <v>100</v>
      </c>
      <c r="J1370" s="52">
        <v>350000000</v>
      </c>
      <c r="K1370" s="56" t="s">
        <v>120</v>
      </c>
      <c r="L1370" s="53" t="s">
        <v>2159</v>
      </c>
      <c r="M1370" s="56" t="s">
        <v>120</v>
      </c>
      <c r="N1370" s="52"/>
      <c r="O1370" s="53" t="s">
        <v>2160</v>
      </c>
      <c r="P1370" s="53" t="s">
        <v>1796</v>
      </c>
      <c r="Q1370" s="52"/>
      <c r="R1370" s="52"/>
      <c r="S1370" s="54">
        <v>2</v>
      </c>
      <c r="T1370" s="52"/>
      <c r="U1370" s="54">
        <f t="shared" ref="U1370:U1383" si="89">V1370/112*100</f>
        <v>0</v>
      </c>
      <c r="V1370" s="54">
        <v>0</v>
      </c>
      <c r="W1370" s="52"/>
      <c r="X1370" s="52">
        <v>2012</v>
      </c>
      <c r="Y1370" s="52">
        <v>11.14</v>
      </c>
    </row>
    <row r="1371" spans="2:25" s="55" customFormat="1" ht="127.5" outlineLevel="1">
      <c r="B1371" s="52" t="s">
        <v>2871</v>
      </c>
      <c r="C1371" s="78" t="s">
        <v>246</v>
      </c>
      <c r="D1371" s="52" t="s">
        <v>304</v>
      </c>
      <c r="E1371" s="56" t="s">
        <v>198</v>
      </c>
      <c r="F1371" s="53" t="s">
        <v>1582</v>
      </c>
      <c r="G1371" s="53"/>
      <c r="H1371" s="53" t="s">
        <v>245</v>
      </c>
      <c r="I1371" s="52">
        <v>100</v>
      </c>
      <c r="J1371" s="52">
        <v>350000000</v>
      </c>
      <c r="K1371" s="56" t="s">
        <v>120</v>
      </c>
      <c r="L1371" s="53" t="s">
        <v>2862</v>
      </c>
      <c r="M1371" s="56" t="s">
        <v>120</v>
      </c>
      <c r="N1371" s="52"/>
      <c r="O1371" s="53" t="s">
        <v>2385</v>
      </c>
      <c r="P1371" s="53" t="s">
        <v>1796</v>
      </c>
      <c r="Q1371" s="52"/>
      <c r="R1371" s="52"/>
      <c r="S1371" s="54">
        <v>2</v>
      </c>
      <c r="T1371" s="52"/>
      <c r="U1371" s="54">
        <f t="shared" si="89"/>
        <v>4050000</v>
      </c>
      <c r="V1371" s="54">
        <f>SUM(2851191+1684809)</f>
        <v>4536000</v>
      </c>
      <c r="W1371" s="52"/>
      <c r="X1371" s="52">
        <v>2012</v>
      </c>
      <c r="Y1371" s="52"/>
    </row>
    <row r="1372" spans="2:25" s="55" customFormat="1" ht="127.5" outlineLevel="1">
      <c r="B1372" s="52" t="s">
        <v>823</v>
      </c>
      <c r="C1372" s="78" t="s">
        <v>246</v>
      </c>
      <c r="D1372" s="52" t="s">
        <v>304</v>
      </c>
      <c r="E1372" s="56" t="s">
        <v>198</v>
      </c>
      <c r="F1372" s="53" t="s">
        <v>1582</v>
      </c>
      <c r="G1372" s="53"/>
      <c r="H1372" s="53" t="s">
        <v>243</v>
      </c>
      <c r="I1372" s="52">
        <v>100</v>
      </c>
      <c r="J1372" s="52">
        <v>390000000</v>
      </c>
      <c r="K1372" s="56" t="s">
        <v>121</v>
      </c>
      <c r="L1372" s="53" t="s">
        <v>2184</v>
      </c>
      <c r="M1372" s="56" t="s">
        <v>121</v>
      </c>
      <c r="N1372" s="52"/>
      <c r="O1372" s="53" t="s">
        <v>2184</v>
      </c>
      <c r="P1372" s="53" t="s">
        <v>2185</v>
      </c>
      <c r="Q1372" s="52"/>
      <c r="R1372" s="52"/>
      <c r="S1372" s="54">
        <v>2</v>
      </c>
      <c r="T1372" s="52"/>
      <c r="U1372" s="54">
        <f t="shared" si="89"/>
        <v>0</v>
      </c>
      <c r="V1372" s="54">
        <v>0</v>
      </c>
      <c r="W1372" s="52"/>
      <c r="X1372" s="52">
        <v>2012</v>
      </c>
      <c r="Y1372" s="52">
        <v>11.14</v>
      </c>
    </row>
    <row r="1373" spans="2:25" s="55" customFormat="1" ht="127.5" outlineLevel="1">
      <c r="B1373" s="52" t="s">
        <v>2872</v>
      </c>
      <c r="C1373" s="78" t="s">
        <v>246</v>
      </c>
      <c r="D1373" s="52" t="s">
        <v>304</v>
      </c>
      <c r="E1373" s="56" t="s">
        <v>198</v>
      </c>
      <c r="F1373" s="53" t="s">
        <v>1582</v>
      </c>
      <c r="G1373" s="53"/>
      <c r="H1373" s="53" t="s">
        <v>243</v>
      </c>
      <c r="I1373" s="52">
        <v>100</v>
      </c>
      <c r="J1373" s="52">
        <v>390000000</v>
      </c>
      <c r="K1373" s="56" t="s">
        <v>121</v>
      </c>
      <c r="L1373" s="53" t="s">
        <v>2862</v>
      </c>
      <c r="M1373" s="56" t="s">
        <v>121</v>
      </c>
      <c r="N1373" s="52"/>
      <c r="O1373" s="53" t="s">
        <v>2385</v>
      </c>
      <c r="P1373" s="53" t="s">
        <v>2185</v>
      </c>
      <c r="Q1373" s="52"/>
      <c r="R1373" s="52"/>
      <c r="S1373" s="54">
        <v>2</v>
      </c>
      <c r="T1373" s="52"/>
      <c r="U1373" s="54">
        <f t="shared" si="89"/>
        <v>2549825.3246753244</v>
      </c>
      <c r="V1373" s="54">
        <f>[10]лекторы!$G$147</f>
        <v>2855804.3636363633</v>
      </c>
      <c r="W1373" s="52"/>
      <c r="X1373" s="52">
        <v>2012</v>
      </c>
      <c r="Y1373" s="52"/>
    </row>
    <row r="1374" spans="2:25" s="55" customFormat="1" ht="127.5" outlineLevel="1">
      <c r="B1374" s="52" t="s">
        <v>824</v>
      </c>
      <c r="C1374" s="78" t="s">
        <v>246</v>
      </c>
      <c r="D1374" s="52" t="s">
        <v>304</v>
      </c>
      <c r="E1374" s="56" t="s">
        <v>198</v>
      </c>
      <c r="F1374" s="53" t="s">
        <v>1582</v>
      </c>
      <c r="G1374" s="53"/>
      <c r="H1374" s="53" t="s">
        <v>243</v>
      </c>
      <c r="I1374" s="52">
        <v>100</v>
      </c>
      <c r="J1374" s="52">
        <v>430000000</v>
      </c>
      <c r="K1374" s="56" t="s">
        <v>122</v>
      </c>
      <c r="L1374" s="53" t="s">
        <v>1804</v>
      </c>
      <c r="M1374" s="56" t="s">
        <v>122</v>
      </c>
      <c r="N1374" s="52"/>
      <c r="O1374" s="53" t="s">
        <v>1712</v>
      </c>
      <c r="P1374" s="53" t="s">
        <v>1796</v>
      </c>
      <c r="Q1374" s="52"/>
      <c r="R1374" s="52"/>
      <c r="S1374" s="54">
        <v>2</v>
      </c>
      <c r="T1374" s="52"/>
      <c r="U1374" s="54">
        <f t="shared" si="89"/>
        <v>0</v>
      </c>
      <c r="V1374" s="54">
        <v>0</v>
      </c>
      <c r="W1374" s="52"/>
      <c r="X1374" s="52">
        <v>2012</v>
      </c>
      <c r="Y1374" s="52">
        <v>11.14</v>
      </c>
    </row>
    <row r="1375" spans="2:25" s="55" customFormat="1" ht="127.5" outlineLevel="1">
      <c r="B1375" s="52" t="s">
        <v>2873</v>
      </c>
      <c r="C1375" s="78" t="s">
        <v>246</v>
      </c>
      <c r="D1375" s="52" t="s">
        <v>304</v>
      </c>
      <c r="E1375" s="56" t="s">
        <v>198</v>
      </c>
      <c r="F1375" s="53" t="s">
        <v>1582</v>
      </c>
      <c r="G1375" s="53"/>
      <c r="H1375" s="53" t="s">
        <v>243</v>
      </c>
      <c r="I1375" s="52">
        <v>100</v>
      </c>
      <c r="J1375" s="52">
        <v>430000000</v>
      </c>
      <c r="K1375" s="56" t="s">
        <v>122</v>
      </c>
      <c r="L1375" s="53" t="s">
        <v>2862</v>
      </c>
      <c r="M1375" s="56" t="s">
        <v>122</v>
      </c>
      <c r="N1375" s="52"/>
      <c r="O1375" s="53" t="s">
        <v>2385</v>
      </c>
      <c r="P1375" s="53" t="s">
        <v>1796</v>
      </c>
      <c r="Q1375" s="52"/>
      <c r="R1375" s="52"/>
      <c r="S1375" s="54">
        <v>2</v>
      </c>
      <c r="T1375" s="52"/>
      <c r="U1375" s="54">
        <f t="shared" si="89"/>
        <v>2227104.4642857141</v>
      </c>
      <c r="V1375" s="54">
        <f>SUM(1805139+689218)</f>
        <v>2494357</v>
      </c>
      <c r="W1375" s="52"/>
      <c r="X1375" s="52">
        <v>2012</v>
      </c>
      <c r="Y1375" s="52"/>
    </row>
    <row r="1376" spans="2:25" s="55" customFormat="1" ht="127.5" outlineLevel="1">
      <c r="B1376" s="52" t="s">
        <v>825</v>
      </c>
      <c r="C1376" s="78" t="s">
        <v>246</v>
      </c>
      <c r="D1376" s="52" t="s">
        <v>304</v>
      </c>
      <c r="E1376" s="56" t="s">
        <v>198</v>
      </c>
      <c r="F1376" s="53" t="s">
        <v>1582</v>
      </c>
      <c r="G1376" s="53"/>
      <c r="H1376" s="53" t="s">
        <v>245</v>
      </c>
      <c r="I1376" s="52">
        <v>100</v>
      </c>
      <c r="J1376" s="52">
        <v>470000000</v>
      </c>
      <c r="K1376" s="56" t="s">
        <v>123</v>
      </c>
      <c r="L1376" s="53" t="s">
        <v>1805</v>
      </c>
      <c r="M1376" s="56" t="s">
        <v>123</v>
      </c>
      <c r="N1376" s="52"/>
      <c r="O1376" s="53" t="s">
        <v>1806</v>
      </c>
      <c r="P1376" s="53" t="s">
        <v>1796</v>
      </c>
      <c r="Q1376" s="52"/>
      <c r="R1376" s="52"/>
      <c r="S1376" s="54">
        <v>2</v>
      </c>
      <c r="T1376" s="52"/>
      <c r="U1376" s="54">
        <f t="shared" si="89"/>
        <v>0</v>
      </c>
      <c r="V1376" s="54">
        <v>0</v>
      </c>
      <c r="W1376" s="52"/>
      <c r="X1376" s="52">
        <v>2012</v>
      </c>
      <c r="Y1376" s="52">
        <v>11.14</v>
      </c>
    </row>
    <row r="1377" spans="2:25" s="55" customFormat="1" ht="127.5" outlineLevel="1">
      <c r="B1377" s="52" t="s">
        <v>2874</v>
      </c>
      <c r="C1377" s="78" t="s">
        <v>246</v>
      </c>
      <c r="D1377" s="52" t="s">
        <v>304</v>
      </c>
      <c r="E1377" s="56" t="s">
        <v>198</v>
      </c>
      <c r="F1377" s="53" t="s">
        <v>1582</v>
      </c>
      <c r="G1377" s="53"/>
      <c r="H1377" s="53" t="s">
        <v>245</v>
      </c>
      <c r="I1377" s="52">
        <v>100</v>
      </c>
      <c r="J1377" s="52">
        <v>470000000</v>
      </c>
      <c r="K1377" s="56" t="s">
        <v>123</v>
      </c>
      <c r="L1377" s="53" t="s">
        <v>2862</v>
      </c>
      <c r="M1377" s="56" t="s">
        <v>123</v>
      </c>
      <c r="N1377" s="52"/>
      <c r="O1377" s="53" t="s">
        <v>2385</v>
      </c>
      <c r="P1377" s="53" t="s">
        <v>1796</v>
      </c>
      <c r="Q1377" s="52"/>
      <c r="R1377" s="52"/>
      <c r="S1377" s="54">
        <v>2</v>
      </c>
      <c r="T1377" s="52"/>
      <c r="U1377" s="54">
        <f t="shared" si="89"/>
        <v>2900000</v>
      </c>
      <c r="V1377" s="54">
        <f>SUM(1789870+1458130)</f>
        <v>3248000</v>
      </c>
      <c r="W1377" s="52"/>
      <c r="X1377" s="52">
        <v>2012</v>
      </c>
      <c r="Y1377" s="52"/>
    </row>
    <row r="1378" spans="2:25" s="55" customFormat="1" ht="127.5" outlineLevel="1">
      <c r="B1378" s="52" t="s">
        <v>826</v>
      </c>
      <c r="C1378" s="78" t="s">
        <v>246</v>
      </c>
      <c r="D1378" s="52" t="s">
        <v>304</v>
      </c>
      <c r="E1378" s="56" t="s">
        <v>198</v>
      </c>
      <c r="F1378" s="53" t="s">
        <v>1582</v>
      </c>
      <c r="G1378" s="53"/>
      <c r="H1378" s="53" t="s">
        <v>243</v>
      </c>
      <c r="I1378" s="52">
        <v>100</v>
      </c>
      <c r="J1378" s="52">
        <v>550000000</v>
      </c>
      <c r="K1378" s="56" t="s">
        <v>124</v>
      </c>
      <c r="L1378" s="53" t="s">
        <v>2174</v>
      </c>
      <c r="M1378" s="56" t="s">
        <v>124</v>
      </c>
      <c r="N1378" s="52"/>
      <c r="O1378" s="53" t="s">
        <v>1803</v>
      </c>
      <c r="P1378" s="53" t="s">
        <v>1796</v>
      </c>
      <c r="Q1378" s="52"/>
      <c r="R1378" s="52"/>
      <c r="S1378" s="54">
        <v>2</v>
      </c>
      <c r="T1378" s="52"/>
      <c r="U1378" s="54">
        <f t="shared" si="89"/>
        <v>0</v>
      </c>
      <c r="V1378" s="54">
        <v>0</v>
      </c>
      <c r="W1378" s="52"/>
      <c r="X1378" s="52">
        <v>2012</v>
      </c>
      <c r="Y1378" s="52">
        <v>11.14</v>
      </c>
    </row>
    <row r="1379" spans="2:25" s="55" customFormat="1" ht="127.5" outlineLevel="1">
      <c r="B1379" s="52" t="s">
        <v>2875</v>
      </c>
      <c r="C1379" s="78" t="s">
        <v>246</v>
      </c>
      <c r="D1379" s="52" t="s">
        <v>304</v>
      </c>
      <c r="E1379" s="56" t="s">
        <v>198</v>
      </c>
      <c r="F1379" s="53" t="s">
        <v>1582</v>
      </c>
      <c r="G1379" s="53"/>
      <c r="H1379" s="53" t="s">
        <v>243</v>
      </c>
      <c r="I1379" s="52">
        <v>100</v>
      </c>
      <c r="J1379" s="52">
        <v>550000000</v>
      </c>
      <c r="K1379" s="56" t="s">
        <v>124</v>
      </c>
      <c r="L1379" s="53" t="s">
        <v>2862</v>
      </c>
      <c r="M1379" s="56" t="s">
        <v>124</v>
      </c>
      <c r="N1379" s="52"/>
      <c r="O1379" s="53" t="s">
        <v>2385</v>
      </c>
      <c r="P1379" s="53" t="s">
        <v>1796</v>
      </c>
      <c r="Q1379" s="52"/>
      <c r="R1379" s="52"/>
      <c r="S1379" s="54">
        <v>2</v>
      </c>
      <c r="T1379" s="52"/>
      <c r="U1379" s="54">
        <f t="shared" si="89"/>
        <v>2625695.5357142859</v>
      </c>
      <c r="V1379" s="54">
        <f>SUM(2092505+848274)</f>
        <v>2940779</v>
      </c>
      <c r="W1379" s="52"/>
      <c r="X1379" s="52">
        <v>2012</v>
      </c>
      <c r="Y1379" s="52"/>
    </row>
    <row r="1380" spans="2:25" s="55" customFormat="1" ht="127.5" outlineLevel="1">
      <c r="B1380" s="52" t="s">
        <v>827</v>
      </c>
      <c r="C1380" s="78" t="s">
        <v>246</v>
      </c>
      <c r="D1380" s="52" t="s">
        <v>304</v>
      </c>
      <c r="E1380" s="56" t="s">
        <v>198</v>
      </c>
      <c r="F1380" s="53" t="s">
        <v>1582</v>
      </c>
      <c r="G1380" s="53"/>
      <c r="H1380" s="53" t="s">
        <v>243</v>
      </c>
      <c r="I1380" s="52">
        <v>100</v>
      </c>
      <c r="J1380" s="52">
        <v>590000000</v>
      </c>
      <c r="K1380" s="56" t="s">
        <v>103</v>
      </c>
      <c r="L1380" s="53" t="s">
        <v>1574</v>
      </c>
      <c r="M1380" s="56" t="s">
        <v>103</v>
      </c>
      <c r="N1380" s="52"/>
      <c r="O1380" s="53" t="s">
        <v>1712</v>
      </c>
      <c r="P1380" s="53" t="s">
        <v>1475</v>
      </c>
      <c r="Q1380" s="52"/>
      <c r="R1380" s="52"/>
      <c r="S1380" s="54">
        <v>2</v>
      </c>
      <c r="T1380" s="52"/>
      <c r="U1380" s="54">
        <f t="shared" si="89"/>
        <v>0</v>
      </c>
      <c r="V1380" s="54">
        <v>0</v>
      </c>
      <c r="W1380" s="52"/>
      <c r="X1380" s="52">
        <v>2012</v>
      </c>
      <c r="Y1380" s="52">
        <v>11.14</v>
      </c>
    </row>
    <row r="1381" spans="2:25" s="55" customFormat="1" ht="127.5" outlineLevel="1">
      <c r="B1381" s="52" t="s">
        <v>2876</v>
      </c>
      <c r="C1381" s="78" t="s">
        <v>246</v>
      </c>
      <c r="D1381" s="52" t="s">
        <v>304</v>
      </c>
      <c r="E1381" s="56" t="s">
        <v>198</v>
      </c>
      <c r="F1381" s="53" t="s">
        <v>1582</v>
      </c>
      <c r="G1381" s="53"/>
      <c r="H1381" s="53" t="s">
        <v>243</v>
      </c>
      <c r="I1381" s="52">
        <v>100</v>
      </c>
      <c r="J1381" s="52">
        <v>590000000</v>
      </c>
      <c r="K1381" s="56" t="s">
        <v>103</v>
      </c>
      <c r="L1381" s="53" t="s">
        <v>2862</v>
      </c>
      <c r="M1381" s="56" t="s">
        <v>103</v>
      </c>
      <c r="N1381" s="52"/>
      <c r="O1381" s="53" t="s">
        <v>2385</v>
      </c>
      <c r="P1381" s="53" t="s">
        <v>1475</v>
      </c>
      <c r="Q1381" s="52"/>
      <c r="R1381" s="52"/>
      <c r="S1381" s="54">
        <v>2</v>
      </c>
      <c r="T1381" s="52"/>
      <c r="U1381" s="54">
        <f t="shared" si="89"/>
        <v>1774881.8181818184</v>
      </c>
      <c r="V1381" s="54">
        <f>[10]лекторы!$G$151</f>
        <v>1987867.6363636365</v>
      </c>
      <c r="W1381" s="52"/>
      <c r="X1381" s="52">
        <v>2012</v>
      </c>
      <c r="Y1381" s="52"/>
    </row>
    <row r="1382" spans="2:25" s="55" customFormat="1" ht="127.5" outlineLevel="1">
      <c r="B1382" s="52" t="s">
        <v>828</v>
      </c>
      <c r="C1382" s="78" t="s">
        <v>246</v>
      </c>
      <c r="D1382" s="52" t="s">
        <v>304</v>
      </c>
      <c r="E1382" s="56" t="s">
        <v>198</v>
      </c>
      <c r="F1382" s="53" t="s">
        <v>1582</v>
      </c>
      <c r="G1382" s="53"/>
      <c r="H1382" s="53" t="s">
        <v>245</v>
      </c>
      <c r="I1382" s="52">
        <v>100</v>
      </c>
      <c r="J1382" s="52">
        <v>510000000</v>
      </c>
      <c r="K1382" s="63" t="s">
        <v>104</v>
      </c>
      <c r="L1382" s="53" t="s">
        <v>2294</v>
      </c>
      <c r="M1382" s="63" t="s">
        <v>104</v>
      </c>
      <c r="N1382" s="52"/>
      <c r="O1382" s="53" t="s">
        <v>2295</v>
      </c>
      <c r="P1382" s="53" t="s">
        <v>1796</v>
      </c>
      <c r="Q1382" s="52"/>
      <c r="R1382" s="52"/>
      <c r="S1382" s="54">
        <v>3</v>
      </c>
      <c r="T1382" s="52"/>
      <c r="U1382" s="54">
        <f t="shared" si="89"/>
        <v>0</v>
      </c>
      <c r="V1382" s="54">
        <v>0</v>
      </c>
      <c r="W1382" s="52"/>
      <c r="X1382" s="52">
        <v>2012</v>
      </c>
      <c r="Y1382" s="53">
        <v>11.14</v>
      </c>
    </row>
    <row r="1383" spans="2:25" s="55" customFormat="1" ht="127.5" outlineLevel="1">
      <c r="B1383" s="52" t="s">
        <v>2877</v>
      </c>
      <c r="C1383" s="78" t="s">
        <v>246</v>
      </c>
      <c r="D1383" s="52" t="s">
        <v>304</v>
      </c>
      <c r="E1383" s="56" t="s">
        <v>198</v>
      </c>
      <c r="F1383" s="53" t="s">
        <v>1582</v>
      </c>
      <c r="G1383" s="53"/>
      <c r="H1383" s="53" t="s">
        <v>245</v>
      </c>
      <c r="I1383" s="52">
        <v>100</v>
      </c>
      <c r="J1383" s="52">
        <v>510000000</v>
      </c>
      <c r="K1383" s="63" t="s">
        <v>104</v>
      </c>
      <c r="L1383" s="53" t="s">
        <v>2862</v>
      </c>
      <c r="M1383" s="63" t="s">
        <v>104</v>
      </c>
      <c r="N1383" s="52"/>
      <c r="O1383" s="53" t="s">
        <v>2385</v>
      </c>
      <c r="P1383" s="53" t="s">
        <v>1796</v>
      </c>
      <c r="Q1383" s="52"/>
      <c r="R1383" s="52"/>
      <c r="S1383" s="54">
        <v>3</v>
      </c>
      <c r="T1383" s="52"/>
      <c r="U1383" s="54">
        <f t="shared" si="89"/>
        <v>7828978.5714285709</v>
      </c>
      <c r="V1383" s="54">
        <f>SUM(2142347+6626109)</f>
        <v>8768456</v>
      </c>
      <c r="W1383" s="52"/>
      <c r="X1383" s="52">
        <v>2012</v>
      </c>
      <c r="Y1383" s="139"/>
    </row>
    <row r="1384" spans="2:25" s="55" customFormat="1" ht="127.5" outlineLevel="1">
      <c r="B1384" s="52" t="s">
        <v>829</v>
      </c>
      <c r="C1384" s="78" t="s">
        <v>246</v>
      </c>
      <c r="D1384" s="52" t="s">
        <v>304</v>
      </c>
      <c r="E1384" s="56" t="s">
        <v>199</v>
      </c>
      <c r="F1384" s="53" t="s">
        <v>1583</v>
      </c>
      <c r="G1384" s="53"/>
      <c r="H1384" s="52" t="s">
        <v>243</v>
      </c>
      <c r="I1384" s="52">
        <v>90</v>
      </c>
      <c r="J1384" s="52">
        <v>751000000</v>
      </c>
      <c r="K1384" s="53" t="s">
        <v>2290</v>
      </c>
      <c r="L1384" s="52" t="s">
        <v>1502</v>
      </c>
      <c r="M1384" s="53" t="s">
        <v>2290</v>
      </c>
      <c r="N1384" s="52"/>
      <c r="O1384" s="53" t="s">
        <v>1713</v>
      </c>
      <c r="P1384" s="53" t="s">
        <v>1475</v>
      </c>
      <c r="Q1384" s="52"/>
      <c r="R1384" s="52"/>
      <c r="S1384" s="54">
        <v>2</v>
      </c>
      <c r="T1384" s="52"/>
      <c r="U1384" s="54">
        <f t="shared" ref="U1384:U1501" si="90">V1384/112*100</f>
        <v>0</v>
      </c>
      <c r="V1384" s="54">
        <v>0</v>
      </c>
      <c r="W1384" s="52"/>
      <c r="X1384" s="52">
        <v>2012</v>
      </c>
      <c r="Y1384" s="52">
        <v>21</v>
      </c>
    </row>
    <row r="1385" spans="2:25" s="55" customFormat="1" ht="127.5" outlineLevel="1">
      <c r="B1385" s="52" t="s">
        <v>2586</v>
      </c>
      <c r="C1385" s="78" t="s">
        <v>246</v>
      </c>
      <c r="D1385" s="52" t="s">
        <v>304</v>
      </c>
      <c r="E1385" s="56" t="s">
        <v>199</v>
      </c>
      <c r="F1385" s="53" t="s">
        <v>1583</v>
      </c>
      <c r="G1385" s="53"/>
      <c r="H1385" s="52" t="s">
        <v>243</v>
      </c>
      <c r="I1385" s="52">
        <v>90</v>
      </c>
      <c r="J1385" s="52">
        <v>751000000</v>
      </c>
      <c r="K1385" s="53" t="s">
        <v>2290</v>
      </c>
      <c r="L1385" s="52" t="s">
        <v>1502</v>
      </c>
      <c r="M1385" s="53" t="s">
        <v>2290</v>
      </c>
      <c r="N1385" s="52"/>
      <c r="O1385" s="53" t="s">
        <v>1713</v>
      </c>
      <c r="P1385" s="53" t="s">
        <v>1475</v>
      </c>
      <c r="Q1385" s="52"/>
      <c r="R1385" s="52"/>
      <c r="S1385" s="54">
        <v>2</v>
      </c>
      <c r="T1385" s="52"/>
      <c r="U1385" s="54">
        <f t="shared" si="90"/>
        <v>1900571.4285714286</v>
      </c>
      <c r="V1385" s="54">
        <f>2889000-760360</f>
        <v>2128640</v>
      </c>
      <c r="W1385" s="52"/>
      <c r="X1385" s="52">
        <v>2012</v>
      </c>
      <c r="Y1385" s="52"/>
    </row>
    <row r="1386" spans="2:25" s="55" customFormat="1" ht="127.5" outlineLevel="1">
      <c r="B1386" s="52" t="s">
        <v>830</v>
      </c>
      <c r="C1386" s="78" t="s">
        <v>246</v>
      </c>
      <c r="D1386" s="165" t="s">
        <v>1829</v>
      </c>
      <c r="E1386" s="56" t="s">
        <v>200</v>
      </c>
      <c r="F1386" s="53" t="s">
        <v>1584</v>
      </c>
      <c r="G1386" s="53"/>
      <c r="H1386" s="52" t="s">
        <v>242</v>
      </c>
      <c r="I1386" s="82">
        <v>50</v>
      </c>
      <c r="J1386" s="52">
        <v>751000000</v>
      </c>
      <c r="K1386" s="53" t="s">
        <v>2290</v>
      </c>
      <c r="L1386" s="52" t="s">
        <v>1810</v>
      </c>
      <c r="M1386" s="53" t="s">
        <v>2290</v>
      </c>
      <c r="N1386" s="52"/>
      <c r="O1386" s="53" t="s">
        <v>1581</v>
      </c>
      <c r="P1386" s="53" t="s">
        <v>1475</v>
      </c>
      <c r="Q1386" s="52"/>
      <c r="R1386" s="52"/>
      <c r="S1386" s="54"/>
      <c r="T1386" s="52"/>
      <c r="U1386" s="54">
        <f t="shared" si="90"/>
        <v>0</v>
      </c>
      <c r="V1386" s="54">
        <v>0</v>
      </c>
      <c r="W1386" s="52"/>
      <c r="X1386" s="52">
        <v>2012</v>
      </c>
      <c r="Y1386" s="52">
        <v>21</v>
      </c>
    </row>
    <row r="1387" spans="2:25" s="55" customFormat="1" ht="127.5" outlineLevel="1">
      <c r="B1387" s="52" t="s">
        <v>2587</v>
      </c>
      <c r="C1387" s="78" t="s">
        <v>246</v>
      </c>
      <c r="D1387" s="165" t="s">
        <v>1829</v>
      </c>
      <c r="E1387" s="56" t="s">
        <v>200</v>
      </c>
      <c r="F1387" s="53" t="s">
        <v>1584</v>
      </c>
      <c r="G1387" s="53"/>
      <c r="H1387" s="52" t="s">
        <v>242</v>
      </c>
      <c r="I1387" s="82">
        <v>50</v>
      </c>
      <c r="J1387" s="52">
        <v>751000000</v>
      </c>
      <c r="K1387" s="53" t="s">
        <v>2290</v>
      </c>
      <c r="L1387" s="52" t="s">
        <v>1810</v>
      </c>
      <c r="M1387" s="53" t="s">
        <v>2290</v>
      </c>
      <c r="N1387" s="52"/>
      <c r="O1387" s="53" t="s">
        <v>1581</v>
      </c>
      <c r="P1387" s="53" t="s">
        <v>1475</v>
      </c>
      <c r="Q1387" s="52"/>
      <c r="R1387" s="52"/>
      <c r="S1387" s="54"/>
      <c r="T1387" s="52"/>
      <c r="U1387" s="54">
        <f t="shared" si="90"/>
        <v>0</v>
      </c>
      <c r="V1387" s="54">
        <v>0</v>
      </c>
      <c r="W1387" s="52"/>
      <c r="X1387" s="52">
        <v>2012</v>
      </c>
      <c r="Y1387" s="52">
        <v>11.14</v>
      </c>
    </row>
    <row r="1388" spans="2:25" s="55" customFormat="1" ht="127.5" outlineLevel="1">
      <c r="B1388" s="52" t="s">
        <v>2638</v>
      </c>
      <c r="C1388" s="78" t="s">
        <v>246</v>
      </c>
      <c r="D1388" s="165" t="s">
        <v>1829</v>
      </c>
      <c r="E1388" s="56" t="s">
        <v>200</v>
      </c>
      <c r="F1388" s="53" t="s">
        <v>1584</v>
      </c>
      <c r="G1388" s="53"/>
      <c r="H1388" s="52" t="s">
        <v>242</v>
      </c>
      <c r="I1388" s="82">
        <v>50</v>
      </c>
      <c r="J1388" s="52">
        <v>751000000</v>
      </c>
      <c r="K1388" s="53" t="s">
        <v>2290</v>
      </c>
      <c r="L1388" s="52" t="s">
        <v>1548</v>
      </c>
      <c r="M1388" s="53" t="s">
        <v>2290</v>
      </c>
      <c r="N1388" s="52"/>
      <c r="O1388" s="53" t="s">
        <v>2303</v>
      </c>
      <c r="P1388" s="53" t="s">
        <v>1475</v>
      </c>
      <c r="Q1388" s="52"/>
      <c r="R1388" s="52"/>
      <c r="S1388" s="54"/>
      <c r="T1388" s="52"/>
      <c r="U1388" s="54">
        <f t="shared" si="90"/>
        <v>23214285.714285713</v>
      </c>
      <c r="V1388" s="54">
        <f>24165000+1835000</f>
        <v>26000000</v>
      </c>
      <c r="W1388" s="52"/>
      <c r="X1388" s="52">
        <v>2012</v>
      </c>
      <c r="Y1388" s="52"/>
    </row>
    <row r="1389" spans="2:25" s="55" customFormat="1" ht="102" outlineLevel="1">
      <c r="B1389" s="52" t="s">
        <v>831</v>
      </c>
      <c r="C1389" s="78" t="s">
        <v>246</v>
      </c>
      <c r="D1389" s="52" t="s">
        <v>291</v>
      </c>
      <c r="E1389" s="56" t="s">
        <v>201</v>
      </c>
      <c r="F1389" s="53" t="s">
        <v>1586</v>
      </c>
      <c r="G1389" s="53"/>
      <c r="H1389" s="52" t="s">
        <v>243</v>
      </c>
      <c r="I1389" s="52">
        <v>75</v>
      </c>
      <c r="J1389" s="52">
        <v>110000000</v>
      </c>
      <c r="K1389" s="56" t="s">
        <v>125</v>
      </c>
      <c r="L1389" s="53" t="s">
        <v>2302</v>
      </c>
      <c r="M1389" s="56" t="s">
        <v>125</v>
      </c>
      <c r="N1389" s="52"/>
      <c r="O1389" s="53" t="s">
        <v>1801</v>
      </c>
      <c r="P1389" s="53" t="s">
        <v>1585</v>
      </c>
      <c r="Q1389" s="52"/>
      <c r="R1389" s="52"/>
      <c r="S1389" s="54">
        <v>2</v>
      </c>
      <c r="T1389" s="52"/>
      <c r="U1389" s="54">
        <f t="shared" si="90"/>
        <v>0</v>
      </c>
      <c r="V1389" s="54">
        <v>0</v>
      </c>
      <c r="W1389" s="52"/>
      <c r="X1389" s="52">
        <v>2012</v>
      </c>
      <c r="Y1389" s="52">
        <v>11.14</v>
      </c>
    </row>
    <row r="1390" spans="2:25" s="55" customFormat="1" ht="102" outlineLevel="1">
      <c r="B1390" s="52" t="s">
        <v>2878</v>
      </c>
      <c r="C1390" s="78" t="s">
        <v>246</v>
      </c>
      <c r="D1390" s="52" t="s">
        <v>291</v>
      </c>
      <c r="E1390" s="56" t="s">
        <v>201</v>
      </c>
      <c r="F1390" s="53" t="s">
        <v>1586</v>
      </c>
      <c r="G1390" s="53"/>
      <c r="H1390" s="52" t="s">
        <v>243</v>
      </c>
      <c r="I1390" s="52">
        <v>75</v>
      </c>
      <c r="J1390" s="52">
        <v>110000000</v>
      </c>
      <c r="K1390" s="56" t="s">
        <v>125</v>
      </c>
      <c r="L1390" s="53" t="s">
        <v>2862</v>
      </c>
      <c r="M1390" s="56" t="s">
        <v>125</v>
      </c>
      <c r="N1390" s="52"/>
      <c r="O1390" s="53" t="s">
        <v>2385</v>
      </c>
      <c r="P1390" s="53" t="s">
        <v>1585</v>
      </c>
      <c r="Q1390" s="52"/>
      <c r="R1390" s="52"/>
      <c r="S1390" s="54">
        <v>2</v>
      </c>
      <c r="T1390" s="52"/>
      <c r="U1390" s="54">
        <f t="shared" si="90"/>
        <v>2734640</v>
      </c>
      <c r="V1390" s="54">
        <f>[3]СВОД_ОБЩИЙ_РФ!$S$8</f>
        <v>3062796.8000000003</v>
      </c>
      <c r="W1390" s="52"/>
      <c r="X1390" s="52">
        <v>2012</v>
      </c>
      <c r="Y1390" s="52"/>
    </row>
    <row r="1391" spans="2:25" s="55" customFormat="1" ht="102" outlineLevel="1">
      <c r="B1391" s="52" t="s">
        <v>832</v>
      </c>
      <c r="C1391" s="78" t="s">
        <v>246</v>
      </c>
      <c r="D1391" s="52" t="s">
        <v>291</v>
      </c>
      <c r="E1391" s="56" t="s">
        <v>201</v>
      </c>
      <c r="F1391" s="53" t="s">
        <v>1586</v>
      </c>
      <c r="G1391" s="53"/>
      <c r="H1391" s="52" t="s">
        <v>243</v>
      </c>
      <c r="I1391" s="52">
        <v>75</v>
      </c>
      <c r="J1391" s="52">
        <v>150000000</v>
      </c>
      <c r="K1391" s="56" t="s">
        <v>126</v>
      </c>
      <c r="L1391" s="53" t="s">
        <v>1797</v>
      </c>
      <c r="M1391" s="56" t="s">
        <v>126</v>
      </c>
      <c r="N1391" s="52"/>
      <c r="O1391" s="53" t="s">
        <v>1798</v>
      </c>
      <c r="P1391" s="53" t="s">
        <v>1585</v>
      </c>
      <c r="Q1391" s="52"/>
      <c r="R1391" s="52"/>
      <c r="S1391" s="54">
        <v>2</v>
      </c>
      <c r="T1391" s="52"/>
      <c r="U1391" s="54">
        <f t="shared" si="90"/>
        <v>0</v>
      </c>
      <c r="V1391" s="54">
        <v>0</v>
      </c>
      <c r="W1391" s="52"/>
      <c r="X1391" s="52">
        <v>2012</v>
      </c>
      <c r="Y1391" s="52">
        <v>11.14</v>
      </c>
    </row>
    <row r="1392" spans="2:25" s="55" customFormat="1" ht="102" outlineLevel="1">
      <c r="B1392" s="52" t="s">
        <v>2879</v>
      </c>
      <c r="C1392" s="78" t="s">
        <v>246</v>
      </c>
      <c r="D1392" s="52" t="s">
        <v>291</v>
      </c>
      <c r="E1392" s="56" t="s">
        <v>201</v>
      </c>
      <c r="F1392" s="53" t="s">
        <v>1586</v>
      </c>
      <c r="G1392" s="53"/>
      <c r="H1392" s="52" t="s">
        <v>243</v>
      </c>
      <c r="I1392" s="52">
        <v>75</v>
      </c>
      <c r="J1392" s="52">
        <v>150000000</v>
      </c>
      <c r="K1392" s="56" t="s">
        <v>126</v>
      </c>
      <c r="L1392" s="53" t="s">
        <v>2862</v>
      </c>
      <c r="M1392" s="56" t="s">
        <v>126</v>
      </c>
      <c r="N1392" s="52"/>
      <c r="O1392" s="53" t="s">
        <v>2385</v>
      </c>
      <c r="P1392" s="53" t="s">
        <v>1585</v>
      </c>
      <c r="Q1392" s="52"/>
      <c r="R1392" s="52"/>
      <c r="S1392" s="54">
        <v>2</v>
      </c>
      <c r="T1392" s="52"/>
      <c r="U1392" s="54">
        <f t="shared" si="90"/>
        <v>1408400</v>
      </c>
      <c r="V1392" s="54">
        <f>[3]СВОД_ОБЩИЙ_РФ!$E$8</f>
        <v>1577408</v>
      </c>
      <c r="W1392" s="52"/>
      <c r="X1392" s="52">
        <v>2012</v>
      </c>
      <c r="Y1392" s="52"/>
    </row>
    <row r="1393" spans="2:25" s="55" customFormat="1" ht="102" outlineLevel="1">
      <c r="B1393" s="52" t="s">
        <v>833</v>
      </c>
      <c r="C1393" s="78" t="s">
        <v>246</v>
      </c>
      <c r="D1393" s="52" t="s">
        <v>291</v>
      </c>
      <c r="E1393" s="56" t="s">
        <v>201</v>
      </c>
      <c r="F1393" s="53" t="s">
        <v>1586</v>
      </c>
      <c r="G1393" s="53"/>
      <c r="H1393" s="52" t="s">
        <v>243</v>
      </c>
      <c r="I1393" s="52">
        <v>75</v>
      </c>
      <c r="J1393" s="52">
        <v>190000000</v>
      </c>
      <c r="K1393" s="56" t="s">
        <v>117</v>
      </c>
      <c r="L1393" s="53" t="s">
        <v>1574</v>
      </c>
      <c r="M1393" s="56" t="s">
        <v>117</v>
      </c>
      <c r="N1393" s="52"/>
      <c r="O1393" s="53" t="s">
        <v>1800</v>
      </c>
      <c r="P1393" s="53" t="s">
        <v>1585</v>
      </c>
      <c r="Q1393" s="52"/>
      <c r="R1393" s="52"/>
      <c r="S1393" s="54">
        <v>2</v>
      </c>
      <c r="T1393" s="52"/>
      <c r="U1393" s="54">
        <f t="shared" si="90"/>
        <v>0</v>
      </c>
      <c r="V1393" s="54">
        <v>0</v>
      </c>
      <c r="W1393" s="52"/>
      <c r="X1393" s="52">
        <v>2012</v>
      </c>
      <c r="Y1393" s="52">
        <v>11.14</v>
      </c>
    </row>
    <row r="1394" spans="2:25" s="55" customFormat="1" ht="102" outlineLevel="1">
      <c r="B1394" s="52" t="s">
        <v>2880</v>
      </c>
      <c r="C1394" s="78" t="s">
        <v>246</v>
      </c>
      <c r="D1394" s="52" t="s">
        <v>291</v>
      </c>
      <c r="E1394" s="56" t="s">
        <v>201</v>
      </c>
      <c r="F1394" s="53" t="s">
        <v>1586</v>
      </c>
      <c r="G1394" s="53"/>
      <c r="H1394" s="52" t="s">
        <v>243</v>
      </c>
      <c r="I1394" s="52">
        <v>75</v>
      </c>
      <c r="J1394" s="52">
        <v>190000000</v>
      </c>
      <c r="K1394" s="56" t="s">
        <v>117</v>
      </c>
      <c r="L1394" s="53" t="s">
        <v>2862</v>
      </c>
      <c r="M1394" s="56" t="s">
        <v>117</v>
      </c>
      <c r="N1394" s="52"/>
      <c r="O1394" s="53" t="s">
        <v>2385</v>
      </c>
      <c r="P1394" s="53" t="s">
        <v>1585</v>
      </c>
      <c r="Q1394" s="52"/>
      <c r="R1394" s="52"/>
      <c r="S1394" s="54">
        <v>2</v>
      </c>
      <c r="T1394" s="52"/>
      <c r="U1394" s="54">
        <f t="shared" si="90"/>
        <v>2543892.8571428573</v>
      </c>
      <c r="V1394" s="54">
        <f>[3]СВОД_ОБЩИЙ_РФ!$R$8</f>
        <v>2849160</v>
      </c>
      <c r="W1394" s="52"/>
      <c r="X1394" s="52">
        <v>2012</v>
      </c>
      <c r="Y1394" s="52"/>
    </row>
    <row r="1395" spans="2:25" s="55" customFormat="1" ht="102" outlineLevel="1">
      <c r="B1395" s="52" t="s">
        <v>834</v>
      </c>
      <c r="C1395" s="78" t="s">
        <v>246</v>
      </c>
      <c r="D1395" s="52" t="s">
        <v>291</v>
      </c>
      <c r="E1395" s="56" t="s">
        <v>201</v>
      </c>
      <c r="F1395" s="53" t="s">
        <v>1586</v>
      </c>
      <c r="G1395" s="53"/>
      <c r="H1395" s="52" t="s">
        <v>243</v>
      </c>
      <c r="I1395" s="52">
        <v>100</v>
      </c>
      <c r="J1395" s="52">
        <v>230000000</v>
      </c>
      <c r="K1395" s="56" t="s">
        <v>118</v>
      </c>
      <c r="L1395" s="53" t="s">
        <v>1574</v>
      </c>
      <c r="M1395" s="56" t="s">
        <v>118</v>
      </c>
      <c r="N1395" s="52"/>
      <c r="O1395" s="53" t="s">
        <v>2136</v>
      </c>
      <c r="P1395" s="53" t="s">
        <v>1585</v>
      </c>
      <c r="Q1395" s="52"/>
      <c r="R1395" s="52"/>
      <c r="S1395" s="54">
        <v>2</v>
      </c>
      <c r="T1395" s="52"/>
      <c r="U1395" s="54">
        <f t="shared" si="90"/>
        <v>0</v>
      </c>
      <c r="V1395" s="54">
        <v>0</v>
      </c>
      <c r="W1395" s="52"/>
      <c r="X1395" s="52">
        <v>2012</v>
      </c>
      <c r="Y1395" s="52">
        <v>11.14</v>
      </c>
    </row>
    <row r="1396" spans="2:25" s="55" customFormat="1" ht="102" outlineLevel="1">
      <c r="B1396" s="52" t="s">
        <v>2881</v>
      </c>
      <c r="C1396" s="78" t="s">
        <v>246</v>
      </c>
      <c r="D1396" s="52" t="s">
        <v>291</v>
      </c>
      <c r="E1396" s="56" t="s">
        <v>201</v>
      </c>
      <c r="F1396" s="53" t="s">
        <v>1586</v>
      </c>
      <c r="G1396" s="53"/>
      <c r="H1396" s="52" t="s">
        <v>243</v>
      </c>
      <c r="I1396" s="52">
        <v>100</v>
      </c>
      <c r="J1396" s="52">
        <v>230000000</v>
      </c>
      <c r="K1396" s="56" t="s">
        <v>118</v>
      </c>
      <c r="L1396" s="53" t="s">
        <v>2862</v>
      </c>
      <c r="M1396" s="56" t="s">
        <v>118</v>
      </c>
      <c r="N1396" s="52"/>
      <c r="O1396" s="53" t="s">
        <v>2385</v>
      </c>
      <c r="P1396" s="53" t="s">
        <v>1585</v>
      </c>
      <c r="Q1396" s="52"/>
      <c r="R1396" s="52"/>
      <c r="S1396" s="54">
        <v>2</v>
      </c>
      <c r="T1396" s="52"/>
      <c r="U1396" s="54">
        <f t="shared" si="90"/>
        <v>1520000</v>
      </c>
      <c r="V1396" s="54">
        <f>[3]СВОД_ОБЩИЙ_РФ!$F$8</f>
        <v>1702400</v>
      </c>
      <c r="W1396" s="52"/>
      <c r="X1396" s="52">
        <v>2012</v>
      </c>
      <c r="Y1396" s="52"/>
    </row>
    <row r="1397" spans="2:25" s="55" customFormat="1" ht="102" outlineLevel="1">
      <c r="B1397" s="52" t="s">
        <v>1678</v>
      </c>
      <c r="C1397" s="78" t="s">
        <v>246</v>
      </c>
      <c r="D1397" s="52" t="s">
        <v>291</v>
      </c>
      <c r="E1397" s="56" t="s">
        <v>201</v>
      </c>
      <c r="F1397" s="53" t="s">
        <v>1586</v>
      </c>
      <c r="G1397" s="53"/>
      <c r="H1397" s="52" t="s">
        <v>243</v>
      </c>
      <c r="I1397" s="52">
        <v>75</v>
      </c>
      <c r="J1397" s="52">
        <v>630000000</v>
      </c>
      <c r="K1397" s="56" t="s">
        <v>97</v>
      </c>
      <c r="L1397" s="53" t="s">
        <v>1799</v>
      </c>
      <c r="M1397" s="56" t="s">
        <v>97</v>
      </c>
      <c r="N1397" s="52"/>
      <c r="O1397" s="53" t="s">
        <v>1800</v>
      </c>
      <c r="P1397" s="53" t="s">
        <v>1585</v>
      </c>
      <c r="Q1397" s="52"/>
      <c r="R1397" s="52"/>
      <c r="S1397" s="54">
        <v>2</v>
      </c>
      <c r="T1397" s="52"/>
      <c r="U1397" s="54">
        <f t="shared" si="90"/>
        <v>0</v>
      </c>
      <c r="V1397" s="54">
        <v>0</v>
      </c>
      <c r="W1397" s="52"/>
      <c r="X1397" s="52">
        <v>2012</v>
      </c>
      <c r="Y1397" s="52">
        <v>11.14</v>
      </c>
    </row>
    <row r="1398" spans="2:25" s="55" customFormat="1" ht="102" outlineLevel="1">
      <c r="B1398" s="52" t="s">
        <v>2882</v>
      </c>
      <c r="C1398" s="78" t="s">
        <v>246</v>
      </c>
      <c r="D1398" s="52" t="s">
        <v>291</v>
      </c>
      <c r="E1398" s="56" t="s">
        <v>201</v>
      </c>
      <c r="F1398" s="53" t="s">
        <v>1586</v>
      </c>
      <c r="G1398" s="53"/>
      <c r="H1398" s="52" t="s">
        <v>243</v>
      </c>
      <c r="I1398" s="52">
        <v>75</v>
      </c>
      <c r="J1398" s="52">
        <v>630000000</v>
      </c>
      <c r="K1398" s="56" t="s">
        <v>97</v>
      </c>
      <c r="L1398" s="53" t="s">
        <v>2862</v>
      </c>
      <c r="M1398" s="56" t="s">
        <v>97</v>
      </c>
      <c r="N1398" s="52"/>
      <c r="O1398" s="53" t="s">
        <v>2385</v>
      </c>
      <c r="P1398" s="53" t="s">
        <v>1585</v>
      </c>
      <c r="Q1398" s="52"/>
      <c r="R1398" s="52"/>
      <c r="S1398" s="54">
        <v>2</v>
      </c>
      <c r="T1398" s="52"/>
      <c r="U1398" s="54">
        <f t="shared" si="90"/>
        <v>5505723.2142857146</v>
      </c>
      <c r="V1398" s="54">
        <v>6166410</v>
      </c>
      <c r="W1398" s="52"/>
      <c r="X1398" s="52">
        <v>2012</v>
      </c>
      <c r="Y1398" s="52"/>
    </row>
    <row r="1399" spans="2:25" s="55" customFormat="1" ht="102" outlineLevel="1">
      <c r="B1399" s="52" t="s">
        <v>1679</v>
      </c>
      <c r="C1399" s="78" t="s">
        <v>246</v>
      </c>
      <c r="D1399" s="52" t="s">
        <v>291</v>
      </c>
      <c r="E1399" s="56" t="s">
        <v>201</v>
      </c>
      <c r="F1399" s="53" t="s">
        <v>1586</v>
      </c>
      <c r="G1399" s="53"/>
      <c r="H1399" s="52" t="s">
        <v>243</v>
      </c>
      <c r="I1399" s="52">
        <v>75</v>
      </c>
      <c r="J1399" s="52">
        <v>310000000</v>
      </c>
      <c r="K1399" s="56" t="s">
        <v>119</v>
      </c>
      <c r="L1399" s="53" t="s">
        <v>1801</v>
      </c>
      <c r="M1399" s="56" t="s">
        <v>119</v>
      </c>
      <c r="N1399" s="52"/>
      <c r="O1399" s="53" t="s">
        <v>1802</v>
      </c>
      <c r="P1399" s="53" t="s">
        <v>1585</v>
      </c>
      <c r="Q1399" s="52"/>
      <c r="R1399" s="52"/>
      <c r="S1399" s="54">
        <v>2</v>
      </c>
      <c r="T1399" s="52"/>
      <c r="U1399" s="54">
        <f t="shared" si="90"/>
        <v>0</v>
      </c>
      <c r="V1399" s="54">
        <v>0</v>
      </c>
      <c r="W1399" s="52"/>
      <c r="X1399" s="52">
        <v>2012</v>
      </c>
      <c r="Y1399" s="52">
        <v>11.14</v>
      </c>
    </row>
    <row r="1400" spans="2:25" s="55" customFormat="1" ht="102" outlineLevel="1">
      <c r="B1400" s="52" t="s">
        <v>2883</v>
      </c>
      <c r="C1400" s="78" t="s">
        <v>246</v>
      </c>
      <c r="D1400" s="52" t="s">
        <v>291</v>
      </c>
      <c r="E1400" s="56" t="s">
        <v>201</v>
      </c>
      <c r="F1400" s="53" t="s">
        <v>1586</v>
      </c>
      <c r="G1400" s="53"/>
      <c r="H1400" s="52" t="s">
        <v>243</v>
      </c>
      <c r="I1400" s="52">
        <v>75</v>
      </c>
      <c r="J1400" s="52">
        <v>310000000</v>
      </c>
      <c r="K1400" s="56" t="s">
        <v>119</v>
      </c>
      <c r="L1400" s="53" t="s">
        <v>2862</v>
      </c>
      <c r="M1400" s="56" t="s">
        <v>119</v>
      </c>
      <c r="N1400" s="52"/>
      <c r="O1400" s="53" t="s">
        <v>2385</v>
      </c>
      <c r="P1400" s="53" t="s">
        <v>1585</v>
      </c>
      <c r="Q1400" s="52"/>
      <c r="R1400" s="52"/>
      <c r="S1400" s="54">
        <v>2</v>
      </c>
      <c r="T1400" s="52"/>
      <c r="U1400" s="54">
        <f t="shared" si="90"/>
        <v>2769004.4642857141</v>
      </c>
      <c r="V1400" s="54">
        <v>3101285</v>
      </c>
      <c r="W1400" s="52"/>
      <c r="X1400" s="52">
        <v>2012</v>
      </c>
      <c r="Y1400" s="52"/>
    </row>
    <row r="1401" spans="2:25" s="55" customFormat="1" ht="102" outlineLevel="1">
      <c r="B1401" s="52" t="s">
        <v>1680</v>
      </c>
      <c r="C1401" s="78" t="s">
        <v>246</v>
      </c>
      <c r="D1401" s="52" t="s">
        <v>291</v>
      </c>
      <c r="E1401" s="56" t="s">
        <v>201</v>
      </c>
      <c r="F1401" s="53" t="s">
        <v>1586</v>
      </c>
      <c r="G1401" s="53"/>
      <c r="H1401" s="52" t="s">
        <v>245</v>
      </c>
      <c r="I1401" s="52">
        <v>75</v>
      </c>
      <c r="J1401" s="52">
        <v>270000000</v>
      </c>
      <c r="K1401" s="56" t="s">
        <v>98</v>
      </c>
      <c r="L1401" s="53" t="s">
        <v>1574</v>
      </c>
      <c r="M1401" s="56" t="s">
        <v>98</v>
      </c>
      <c r="N1401" s="52"/>
      <c r="O1401" s="53" t="s">
        <v>2304</v>
      </c>
      <c r="P1401" s="53" t="s">
        <v>1585</v>
      </c>
      <c r="Q1401" s="52"/>
      <c r="R1401" s="52"/>
      <c r="S1401" s="54">
        <v>2</v>
      </c>
      <c r="T1401" s="52"/>
      <c r="U1401" s="54">
        <f t="shared" si="90"/>
        <v>0</v>
      </c>
      <c r="V1401" s="54">
        <v>0</v>
      </c>
      <c r="W1401" s="52"/>
      <c r="X1401" s="52">
        <v>2012</v>
      </c>
      <c r="Y1401" s="52">
        <v>11.14</v>
      </c>
    </row>
    <row r="1402" spans="2:25" s="55" customFormat="1" ht="102" outlineLevel="1">
      <c r="B1402" s="52" t="s">
        <v>2884</v>
      </c>
      <c r="C1402" s="78" t="s">
        <v>246</v>
      </c>
      <c r="D1402" s="52" t="s">
        <v>291</v>
      </c>
      <c r="E1402" s="56" t="s">
        <v>201</v>
      </c>
      <c r="F1402" s="53" t="s">
        <v>1586</v>
      </c>
      <c r="G1402" s="53"/>
      <c r="H1402" s="52" t="s">
        <v>245</v>
      </c>
      <c r="I1402" s="52">
        <v>75</v>
      </c>
      <c r="J1402" s="52">
        <v>270000000</v>
      </c>
      <c r="K1402" s="56" t="s">
        <v>98</v>
      </c>
      <c r="L1402" s="53" t="s">
        <v>2862</v>
      </c>
      <c r="M1402" s="56" t="s">
        <v>98</v>
      </c>
      <c r="N1402" s="52"/>
      <c r="O1402" s="53" t="s">
        <v>2385</v>
      </c>
      <c r="P1402" s="53" t="s">
        <v>1585</v>
      </c>
      <c r="Q1402" s="52"/>
      <c r="R1402" s="52"/>
      <c r="S1402" s="54">
        <v>2</v>
      </c>
      <c r="T1402" s="52"/>
      <c r="U1402" s="54">
        <f t="shared" si="90"/>
        <v>2924600</v>
      </c>
      <c r="V1402" s="54">
        <f>[3]СВОД_ОБЩИЙ_РФ!$O$8</f>
        <v>3275552</v>
      </c>
      <c r="W1402" s="52"/>
      <c r="X1402" s="52">
        <v>2012</v>
      </c>
      <c r="Y1402" s="52"/>
    </row>
    <row r="1403" spans="2:25" s="55" customFormat="1" ht="102" outlineLevel="1">
      <c r="B1403" s="52" t="s">
        <v>1681</v>
      </c>
      <c r="C1403" s="78" t="s">
        <v>246</v>
      </c>
      <c r="D1403" s="52" t="s">
        <v>291</v>
      </c>
      <c r="E1403" s="56" t="s">
        <v>201</v>
      </c>
      <c r="F1403" s="53" t="s">
        <v>1586</v>
      </c>
      <c r="G1403" s="53"/>
      <c r="H1403" s="52" t="s">
        <v>245</v>
      </c>
      <c r="I1403" s="52">
        <v>75</v>
      </c>
      <c r="J1403" s="52">
        <v>350000000</v>
      </c>
      <c r="K1403" s="56" t="s">
        <v>120</v>
      </c>
      <c r="L1403" s="53" t="s">
        <v>2159</v>
      </c>
      <c r="M1403" s="56" t="s">
        <v>120</v>
      </c>
      <c r="N1403" s="52" t="s">
        <v>1754</v>
      </c>
      <c r="O1403" s="53" t="s">
        <v>2160</v>
      </c>
      <c r="P1403" s="53" t="s">
        <v>1585</v>
      </c>
      <c r="Q1403" s="52"/>
      <c r="R1403" s="52"/>
      <c r="S1403" s="54">
        <v>2</v>
      </c>
      <c r="T1403" s="52"/>
      <c r="U1403" s="54">
        <f t="shared" si="90"/>
        <v>0</v>
      </c>
      <c r="V1403" s="54">
        <v>0</v>
      </c>
      <c r="W1403" s="52"/>
      <c r="X1403" s="52">
        <v>2012</v>
      </c>
      <c r="Y1403" s="52">
        <v>11.14</v>
      </c>
    </row>
    <row r="1404" spans="2:25" s="55" customFormat="1" ht="102" outlineLevel="1">
      <c r="B1404" s="52" t="s">
        <v>2885</v>
      </c>
      <c r="C1404" s="78" t="s">
        <v>246</v>
      </c>
      <c r="D1404" s="52" t="s">
        <v>291</v>
      </c>
      <c r="E1404" s="56" t="s">
        <v>201</v>
      </c>
      <c r="F1404" s="53" t="s">
        <v>1586</v>
      </c>
      <c r="G1404" s="53"/>
      <c r="H1404" s="52" t="s">
        <v>245</v>
      </c>
      <c r="I1404" s="52">
        <v>75</v>
      </c>
      <c r="J1404" s="52">
        <v>350000000</v>
      </c>
      <c r="K1404" s="56" t="s">
        <v>120</v>
      </c>
      <c r="L1404" s="53" t="s">
        <v>2862</v>
      </c>
      <c r="M1404" s="56" t="s">
        <v>120</v>
      </c>
      <c r="N1404" s="52" t="s">
        <v>1754</v>
      </c>
      <c r="O1404" s="53" t="s">
        <v>2385</v>
      </c>
      <c r="P1404" s="53" t="s">
        <v>1585</v>
      </c>
      <c r="Q1404" s="52"/>
      <c r="R1404" s="52"/>
      <c r="S1404" s="54">
        <v>2</v>
      </c>
      <c r="T1404" s="52"/>
      <c r="U1404" s="54">
        <f t="shared" si="90"/>
        <v>4636617.8571428573</v>
      </c>
      <c r="V1404" s="54">
        <f>[3]СВОД_ОБЩИЙ_РФ!$N$8</f>
        <v>5193012</v>
      </c>
      <c r="W1404" s="52"/>
      <c r="X1404" s="52">
        <v>2012</v>
      </c>
      <c r="Y1404" s="52"/>
    </row>
    <row r="1405" spans="2:25" s="55" customFormat="1" ht="127.5" outlineLevel="1">
      <c r="B1405" s="52" t="s">
        <v>1682</v>
      </c>
      <c r="C1405" s="78" t="s">
        <v>246</v>
      </c>
      <c r="D1405" s="52" t="s">
        <v>291</v>
      </c>
      <c r="E1405" s="56" t="s">
        <v>201</v>
      </c>
      <c r="F1405" s="53" t="s">
        <v>1586</v>
      </c>
      <c r="G1405" s="53"/>
      <c r="H1405" s="52" t="s">
        <v>243</v>
      </c>
      <c r="I1405" s="52">
        <v>75</v>
      </c>
      <c r="J1405" s="52">
        <v>390000000</v>
      </c>
      <c r="K1405" s="56" t="s">
        <v>121</v>
      </c>
      <c r="L1405" s="53" t="s">
        <v>2184</v>
      </c>
      <c r="M1405" s="56" t="s">
        <v>121</v>
      </c>
      <c r="N1405" s="52"/>
      <c r="O1405" s="53" t="s">
        <v>2184</v>
      </c>
      <c r="P1405" s="53" t="s">
        <v>2185</v>
      </c>
      <c r="Q1405" s="52"/>
      <c r="R1405" s="52"/>
      <c r="S1405" s="54">
        <v>2</v>
      </c>
      <c r="T1405" s="52"/>
      <c r="U1405" s="54">
        <f t="shared" si="90"/>
        <v>0</v>
      </c>
      <c r="V1405" s="54">
        <v>0</v>
      </c>
      <c r="W1405" s="52"/>
      <c r="X1405" s="52">
        <v>2012</v>
      </c>
      <c r="Y1405" s="52">
        <v>11.14</v>
      </c>
    </row>
    <row r="1406" spans="2:25" s="55" customFormat="1" ht="127.5" outlineLevel="1">
      <c r="B1406" s="52" t="s">
        <v>2886</v>
      </c>
      <c r="C1406" s="78" t="s">
        <v>246</v>
      </c>
      <c r="D1406" s="52" t="s">
        <v>291</v>
      </c>
      <c r="E1406" s="56" t="s">
        <v>201</v>
      </c>
      <c r="F1406" s="53" t="s">
        <v>1586</v>
      </c>
      <c r="G1406" s="53"/>
      <c r="H1406" s="52" t="s">
        <v>243</v>
      </c>
      <c r="I1406" s="52">
        <v>75</v>
      </c>
      <c r="J1406" s="52">
        <v>390000000</v>
      </c>
      <c r="K1406" s="56" t="s">
        <v>121</v>
      </c>
      <c r="L1406" s="53" t="s">
        <v>2862</v>
      </c>
      <c r="M1406" s="56" t="s">
        <v>121</v>
      </c>
      <c r="N1406" s="52"/>
      <c r="O1406" s="53" t="s">
        <v>2385</v>
      </c>
      <c r="P1406" s="53" t="s">
        <v>2185</v>
      </c>
      <c r="Q1406" s="52"/>
      <c r="R1406" s="52"/>
      <c r="S1406" s="54">
        <v>2</v>
      </c>
      <c r="T1406" s="52"/>
      <c r="U1406" s="54">
        <f t="shared" si="90"/>
        <v>1220514.2857142857</v>
      </c>
      <c r="V1406" s="54">
        <f>[3]СВОД_ОБЩИЙ_РФ!$I$8</f>
        <v>1366976</v>
      </c>
      <c r="W1406" s="52"/>
      <c r="X1406" s="52">
        <v>2012</v>
      </c>
      <c r="Y1406" s="52"/>
    </row>
    <row r="1407" spans="2:25" s="55" customFormat="1" ht="102" outlineLevel="1">
      <c r="B1407" s="52" t="s">
        <v>1683</v>
      </c>
      <c r="C1407" s="78" t="s">
        <v>246</v>
      </c>
      <c r="D1407" s="52" t="s">
        <v>291</v>
      </c>
      <c r="E1407" s="56" t="s">
        <v>201</v>
      </c>
      <c r="F1407" s="53" t="s">
        <v>1586</v>
      </c>
      <c r="G1407" s="53"/>
      <c r="H1407" s="52" t="s">
        <v>243</v>
      </c>
      <c r="I1407" s="52">
        <v>75</v>
      </c>
      <c r="J1407" s="52">
        <v>430000000</v>
      </c>
      <c r="K1407" s="56" t="s">
        <v>122</v>
      </c>
      <c r="L1407" s="53" t="s">
        <v>1574</v>
      </c>
      <c r="M1407" s="56" t="s">
        <v>122</v>
      </c>
      <c r="N1407" s="52"/>
      <c r="O1407" s="53" t="s">
        <v>1712</v>
      </c>
      <c r="P1407" s="53" t="s">
        <v>1585</v>
      </c>
      <c r="Q1407" s="52"/>
      <c r="R1407" s="52"/>
      <c r="S1407" s="54">
        <v>2</v>
      </c>
      <c r="T1407" s="52"/>
      <c r="U1407" s="54">
        <f t="shared" si="90"/>
        <v>0</v>
      </c>
      <c r="V1407" s="54">
        <v>0</v>
      </c>
      <c r="W1407" s="52"/>
      <c r="X1407" s="52">
        <v>2012</v>
      </c>
      <c r="Y1407" s="52">
        <v>11.14</v>
      </c>
    </row>
    <row r="1408" spans="2:25" s="55" customFormat="1" ht="102" outlineLevel="1">
      <c r="B1408" s="52" t="s">
        <v>2887</v>
      </c>
      <c r="C1408" s="78" t="s">
        <v>246</v>
      </c>
      <c r="D1408" s="52" t="s">
        <v>291</v>
      </c>
      <c r="E1408" s="56" t="s">
        <v>201</v>
      </c>
      <c r="F1408" s="53" t="s">
        <v>1586</v>
      </c>
      <c r="G1408" s="53"/>
      <c r="H1408" s="52" t="s">
        <v>243</v>
      </c>
      <c r="I1408" s="52">
        <v>75</v>
      </c>
      <c r="J1408" s="52">
        <v>430000000</v>
      </c>
      <c r="K1408" s="56" t="s">
        <v>122</v>
      </c>
      <c r="L1408" s="53" t="s">
        <v>2862</v>
      </c>
      <c r="M1408" s="56" t="s">
        <v>122</v>
      </c>
      <c r="N1408" s="52"/>
      <c r="O1408" s="53" t="s">
        <v>2385</v>
      </c>
      <c r="P1408" s="53" t="s">
        <v>1585</v>
      </c>
      <c r="Q1408" s="52"/>
      <c r="R1408" s="52"/>
      <c r="S1408" s="54">
        <v>2</v>
      </c>
      <c r="T1408" s="52"/>
      <c r="U1408" s="54">
        <f t="shared" si="90"/>
        <v>1456000.0000000002</v>
      </c>
      <c r="V1408" s="54">
        <f>[3]СВОД_ОБЩИЙ_РФ!$H$8</f>
        <v>1630720.0000000002</v>
      </c>
      <c r="W1408" s="52"/>
      <c r="X1408" s="52">
        <v>2012</v>
      </c>
      <c r="Y1408" s="52"/>
    </row>
    <row r="1409" spans="2:25" s="55" customFormat="1" ht="102" outlineLevel="1">
      <c r="B1409" s="52" t="s">
        <v>1690</v>
      </c>
      <c r="C1409" s="78" t="s">
        <v>246</v>
      </c>
      <c r="D1409" s="52" t="s">
        <v>291</v>
      </c>
      <c r="E1409" s="56" t="s">
        <v>201</v>
      </c>
      <c r="F1409" s="53" t="s">
        <v>1586</v>
      </c>
      <c r="G1409" s="53"/>
      <c r="H1409" s="52" t="s">
        <v>243</v>
      </c>
      <c r="I1409" s="52">
        <v>75</v>
      </c>
      <c r="J1409" s="52">
        <v>470000000</v>
      </c>
      <c r="K1409" s="56" t="s">
        <v>123</v>
      </c>
      <c r="L1409" s="53" t="s">
        <v>1574</v>
      </c>
      <c r="M1409" s="56" t="s">
        <v>123</v>
      </c>
      <c r="N1409" s="52"/>
      <c r="O1409" s="53" t="s">
        <v>1712</v>
      </c>
      <c r="P1409" s="53" t="s">
        <v>1585</v>
      </c>
      <c r="Q1409" s="52"/>
      <c r="R1409" s="52"/>
      <c r="S1409" s="54">
        <v>2</v>
      </c>
      <c r="T1409" s="52"/>
      <c r="U1409" s="54">
        <f t="shared" si="90"/>
        <v>0</v>
      </c>
      <c r="V1409" s="54">
        <v>0</v>
      </c>
      <c r="W1409" s="52"/>
      <c r="X1409" s="52">
        <v>2012</v>
      </c>
      <c r="Y1409" s="52">
        <v>11.14</v>
      </c>
    </row>
    <row r="1410" spans="2:25" s="55" customFormat="1" ht="102" outlineLevel="1">
      <c r="B1410" s="52" t="s">
        <v>2888</v>
      </c>
      <c r="C1410" s="78" t="s">
        <v>246</v>
      </c>
      <c r="D1410" s="52" t="s">
        <v>291</v>
      </c>
      <c r="E1410" s="56" t="s">
        <v>201</v>
      </c>
      <c r="F1410" s="53" t="s">
        <v>1586</v>
      </c>
      <c r="G1410" s="53"/>
      <c r="H1410" s="52" t="s">
        <v>243</v>
      </c>
      <c r="I1410" s="52">
        <v>75</v>
      </c>
      <c r="J1410" s="52">
        <v>470000000</v>
      </c>
      <c r="K1410" s="56" t="s">
        <v>123</v>
      </c>
      <c r="L1410" s="53" t="s">
        <v>2862</v>
      </c>
      <c r="M1410" s="56" t="s">
        <v>123</v>
      </c>
      <c r="N1410" s="52"/>
      <c r="O1410" s="53" t="s">
        <v>2385</v>
      </c>
      <c r="P1410" s="53" t="s">
        <v>1585</v>
      </c>
      <c r="Q1410" s="52"/>
      <c r="R1410" s="52"/>
      <c r="S1410" s="54">
        <v>2</v>
      </c>
      <c r="T1410" s="52"/>
      <c r="U1410" s="54">
        <f t="shared" si="90"/>
        <v>1785714.2857142859</v>
      </c>
      <c r="V1410" s="54">
        <f>[3]СВОД_ОБЩИЙ_РФ!$K$8</f>
        <v>2000000</v>
      </c>
      <c r="W1410" s="52"/>
      <c r="X1410" s="52">
        <v>2012</v>
      </c>
      <c r="Y1410" s="52"/>
    </row>
    <row r="1411" spans="2:25" s="55" customFormat="1" ht="102" outlineLevel="1">
      <c r="B1411" s="52" t="s">
        <v>1691</v>
      </c>
      <c r="C1411" s="78" t="s">
        <v>246</v>
      </c>
      <c r="D1411" s="52" t="s">
        <v>291</v>
      </c>
      <c r="E1411" s="56" t="s">
        <v>201</v>
      </c>
      <c r="F1411" s="53" t="s">
        <v>1586</v>
      </c>
      <c r="G1411" s="53"/>
      <c r="H1411" s="52" t="s">
        <v>243</v>
      </c>
      <c r="I1411" s="52">
        <v>75</v>
      </c>
      <c r="J1411" s="52">
        <v>550000000</v>
      </c>
      <c r="K1411" s="56" t="s">
        <v>124</v>
      </c>
      <c r="L1411" s="53" t="s">
        <v>2174</v>
      </c>
      <c r="M1411" s="56" t="s">
        <v>124</v>
      </c>
      <c r="N1411" s="52"/>
      <c r="O1411" s="53" t="s">
        <v>1803</v>
      </c>
      <c r="P1411" s="53" t="s">
        <v>1585</v>
      </c>
      <c r="Q1411" s="52"/>
      <c r="R1411" s="52"/>
      <c r="S1411" s="54">
        <v>2</v>
      </c>
      <c r="T1411" s="52"/>
      <c r="U1411" s="54">
        <f t="shared" si="90"/>
        <v>0</v>
      </c>
      <c r="V1411" s="54">
        <v>0</v>
      </c>
      <c r="W1411" s="52"/>
      <c r="X1411" s="52">
        <v>2012</v>
      </c>
      <c r="Y1411" s="52">
        <v>11.14</v>
      </c>
    </row>
    <row r="1412" spans="2:25" s="55" customFormat="1" ht="102" outlineLevel="1">
      <c r="B1412" s="52" t="s">
        <v>2889</v>
      </c>
      <c r="C1412" s="78" t="s">
        <v>246</v>
      </c>
      <c r="D1412" s="52" t="s">
        <v>291</v>
      </c>
      <c r="E1412" s="56" t="s">
        <v>201</v>
      </c>
      <c r="F1412" s="53" t="s">
        <v>1586</v>
      </c>
      <c r="G1412" s="53"/>
      <c r="H1412" s="52" t="s">
        <v>243</v>
      </c>
      <c r="I1412" s="52">
        <v>75</v>
      </c>
      <c r="J1412" s="52">
        <v>550000000</v>
      </c>
      <c r="K1412" s="56" t="s">
        <v>124</v>
      </c>
      <c r="L1412" s="53" t="s">
        <v>2862</v>
      </c>
      <c r="M1412" s="56" t="s">
        <v>124</v>
      </c>
      <c r="N1412" s="52"/>
      <c r="O1412" s="53" t="s">
        <v>2385</v>
      </c>
      <c r="P1412" s="53" t="s">
        <v>1585</v>
      </c>
      <c r="Q1412" s="52"/>
      <c r="R1412" s="52"/>
      <c r="S1412" s="54">
        <v>2</v>
      </c>
      <c r="T1412" s="52"/>
      <c r="U1412" s="54">
        <f t="shared" si="90"/>
        <v>1800000</v>
      </c>
      <c r="V1412" s="54">
        <f>[3]СВОД_ОБЩИЙ_РФ!$J$8</f>
        <v>2016000</v>
      </c>
      <c r="W1412" s="52"/>
      <c r="X1412" s="52">
        <v>2012</v>
      </c>
      <c r="Y1412" s="52"/>
    </row>
    <row r="1413" spans="2:25" s="55" customFormat="1" ht="102">
      <c r="B1413" s="52" t="s">
        <v>1692</v>
      </c>
      <c r="C1413" s="78" t="s">
        <v>246</v>
      </c>
      <c r="D1413" s="52" t="s">
        <v>291</v>
      </c>
      <c r="E1413" s="56" t="s">
        <v>201</v>
      </c>
      <c r="F1413" s="53" t="s">
        <v>1586</v>
      </c>
      <c r="G1413" s="53"/>
      <c r="H1413" s="52" t="s">
        <v>243</v>
      </c>
      <c r="I1413" s="52">
        <v>75</v>
      </c>
      <c r="J1413" s="52">
        <v>590000000</v>
      </c>
      <c r="K1413" s="56" t="s">
        <v>103</v>
      </c>
      <c r="L1413" s="53" t="s">
        <v>1574</v>
      </c>
      <c r="M1413" s="56" t="s">
        <v>103</v>
      </c>
      <c r="N1413" s="52"/>
      <c r="O1413" s="53" t="s">
        <v>1712</v>
      </c>
      <c r="P1413" s="53" t="s">
        <v>1585</v>
      </c>
      <c r="Q1413" s="52"/>
      <c r="R1413" s="52"/>
      <c r="S1413" s="54">
        <v>2</v>
      </c>
      <c r="T1413" s="52"/>
      <c r="U1413" s="54">
        <f t="shared" si="90"/>
        <v>0</v>
      </c>
      <c r="V1413" s="54">
        <v>0</v>
      </c>
      <c r="W1413" s="52"/>
      <c r="X1413" s="52">
        <v>2012</v>
      </c>
      <c r="Y1413" s="52">
        <v>11.14</v>
      </c>
    </row>
    <row r="1414" spans="2:25" s="55" customFormat="1" ht="102">
      <c r="B1414" s="52" t="s">
        <v>2890</v>
      </c>
      <c r="C1414" s="78" t="s">
        <v>246</v>
      </c>
      <c r="D1414" s="52" t="s">
        <v>291</v>
      </c>
      <c r="E1414" s="56" t="s">
        <v>201</v>
      </c>
      <c r="F1414" s="53" t="s">
        <v>1586</v>
      </c>
      <c r="G1414" s="53"/>
      <c r="H1414" s="52" t="s">
        <v>243</v>
      </c>
      <c r="I1414" s="52">
        <v>75</v>
      </c>
      <c r="J1414" s="52">
        <v>590000000</v>
      </c>
      <c r="K1414" s="56" t="s">
        <v>103</v>
      </c>
      <c r="L1414" s="53" t="s">
        <v>2862</v>
      </c>
      <c r="M1414" s="56" t="s">
        <v>103</v>
      </c>
      <c r="N1414" s="52"/>
      <c r="O1414" s="53" t="s">
        <v>2385</v>
      </c>
      <c r="P1414" s="53" t="s">
        <v>1585</v>
      </c>
      <c r="Q1414" s="52"/>
      <c r="R1414" s="52"/>
      <c r="S1414" s="54">
        <v>2</v>
      </c>
      <c r="T1414" s="52"/>
      <c r="U1414" s="54">
        <f t="shared" si="90"/>
        <v>990267.85714285704</v>
      </c>
      <c r="V1414" s="54">
        <f>[3]СВОД_ОБЩИЙ_РФ!$G$8</f>
        <v>1109100</v>
      </c>
      <c r="W1414" s="52"/>
      <c r="X1414" s="52">
        <v>2012</v>
      </c>
      <c r="Y1414" s="52"/>
    </row>
    <row r="1415" spans="2:25" s="55" customFormat="1" ht="102">
      <c r="B1415" s="52" t="s">
        <v>1695</v>
      </c>
      <c r="C1415" s="78" t="s">
        <v>246</v>
      </c>
      <c r="D1415" s="52" t="s">
        <v>291</v>
      </c>
      <c r="E1415" s="56" t="s">
        <v>201</v>
      </c>
      <c r="F1415" s="53" t="s">
        <v>1586</v>
      </c>
      <c r="G1415" s="53"/>
      <c r="H1415" s="52" t="s">
        <v>245</v>
      </c>
      <c r="I1415" s="52">
        <v>75</v>
      </c>
      <c r="J1415" s="52">
        <v>510000000</v>
      </c>
      <c r="K1415" s="63" t="s">
        <v>104</v>
      </c>
      <c r="L1415" s="53" t="s">
        <v>2296</v>
      </c>
      <c r="M1415" s="63" t="s">
        <v>104</v>
      </c>
      <c r="N1415" s="52"/>
      <c r="O1415" s="53" t="s">
        <v>2297</v>
      </c>
      <c r="P1415" s="53" t="s">
        <v>1585</v>
      </c>
      <c r="Q1415" s="52"/>
      <c r="R1415" s="52"/>
      <c r="S1415" s="54">
        <v>3</v>
      </c>
      <c r="T1415" s="52"/>
      <c r="U1415" s="54">
        <f t="shared" si="90"/>
        <v>0</v>
      </c>
      <c r="V1415" s="54">
        <v>0</v>
      </c>
      <c r="W1415" s="52"/>
      <c r="X1415" s="52">
        <v>2012</v>
      </c>
      <c r="Y1415" s="181">
        <v>11.14</v>
      </c>
    </row>
    <row r="1416" spans="2:25" s="55" customFormat="1" ht="102">
      <c r="B1416" s="52" t="s">
        <v>2891</v>
      </c>
      <c r="C1416" s="78" t="s">
        <v>246</v>
      </c>
      <c r="D1416" s="52" t="s">
        <v>291</v>
      </c>
      <c r="E1416" s="56" t="s">
        <v>201</v>
      </c>
      <c r="F1416" s="53" t="s">
        <v>1586</v>
      </c>
      <c r="G1416" s="53"/>
      <c r="H1416" s="52" t="s">
        <v>245</v>
      </c>
      <c r="I1416" s="52">
        <v>75</v>
      </c>
      <c r="J1416" s="52">
        <v>510000000</v>
      </c>
      <c r="K1416" s="63" t="s">
        <v>104</v>
      </c>
      <c r="L1416" s="53" t="s">
        <v>2862</v>
      </c>
      <c r="M1416" s="63" t="s">
        <v>104</v>
      </c>
      <c r="N1416" s="52"/>
      <c r="O1416" s="53" t="s">
        <v>2385</v>
      </c>
      <c r="P1416" s="53" t="s">
        <v>1585</v>
      </c>
      <c r="Q1416" s="52"/>
      <c r="R1416" s="52"/>
      <c r="S1416" s="54">
        <v>3</v>
      </c>
      <c r="T1416" s="52"/>
      <c r="U1416" s="54">
        <f t="shared" si="90"/>
        <v>3290250</v>
      </c>
      <c r="V1416" s="54">
        <f>[3]СВОД_ОБЩИЙ_РФ!$M$8</f>
        <v>3685080</v>
      </c>
      <c r="W1416" s="52"/>
      <c r="X1416" s="52">
        <v>2012</v>
      </c>
      <c r="Y1416" s="140"/>
    </row>
    <row r="1417" spans="2:25" s="55" customFormat="1" ht="102">
      <c r="B1417" s="52" t="s">
        <v>1696</v>
      </c>
      <c r="C1417" s="78" t="s">
        <v>246</v>
      </c>
      <c r="D1417" s="52" t="s">
        <v>291</v>
      </c>
      <c r="E1417" s="56" t="s">
        <v>201</v>
      </c>
      <c r="F1417" s="53" t="s">
        <v>1586</v>
      </c>
      <c r="G1417" s="53"/>
      <c r="H1417" s="52" t="s">
        <v>243</v>
      </c>
      <c r="I1417" s="52">
        <v>75</v>
      </c>
      <c r="J1417" s="52">
        <v>510000000</v>
      </c>
      <c r="K1417" s="56" t="s">
        <v>151</v>
      </c>
      <c r="L1417" s="81" t="s">
        <v>2374</v>
      </c>
      <c r="M1417" s="53" t="s">
        <v>1816</v>
      </c>
      <c r="N1417" s="52"/>
      <c r="O1417" s="53" t="s">
        <v>2386</v>
      </c>
      <c r="P1417" s="53" t="s">
        <v>1585</v>
      </c>
      <c r="Q1417" s="52"/>
      <c r="R1417" s="52"/>
      <c r="S1417" s="54">
        <v>2</v>
      </c>
      <c r="T1417" s="52"/>
      <c r="U1417" s="54">
        <f t="shared" si="90"/>
        <v>0</v>
      </c>
      <c r="V1417" s="54">
        <v>0</v>
      </c>
      <c r="W1417" s="52"/>
      <c r="X1417" s="52">
        <v>2012</v>
      </c>
      <c r="Y1417" s="52">
        <v>11.14</v>
      </c>
    </row>
    <row r="1418" spans="2:25" s="55" customFormat="1" ht="102">
      <c r="B1418" s="52" t="s">
        <v>2892</v>
      </c>
      <c r="C1418" s="78" t="s">
        <v>246</v>
      </c>
      <c r="D1418" s="52" t="s">
        <v>291</v>
      </c>
      <c r="E1418" s="56" t="s">
        <v>201</v>
      </c>
      <c r="F1418" s="53" t="s">
        <v>1586</v>
      </c>
      <c r="G1418" s="53"/>
      <c r="H1418" s="52" t="s">
        <v>243</v>
      </c>
      <c r="I1418" s="52">
        <v>75</v>
      </c>
      <c r="J1418" s="52">
        <v>510000000</v>
      </c>
      <c r="K1418" s="56" t="s">
        <v>151</v>
      </c>
      <c r="L1418" s="53" t="s">
        <v>2862</v>
      </c>
      <c r="M1418" s="53" t="s">
        <v>1816</v>
      </c>
      <c r="N1418" s="52"/>
      <c r="O1418" s="53" t="s">
        <v>2385</v>
      </c>
      <c r="P1418" s="53" t="s">
        <v>1585</v>
      </c>
      <c r="Q1418" s="52"/>
      <c r="R1418" s="52"/>
      <c r="S1418" s="54">
        <v>2</v>
      </c>
      <c r="T1418" s="52"/>
      <c r="U1418" s="54">
        <f t="shared" si="90"/>
        <v>468750</v>
      </c>
      <c r="V1418" s="54">
        <f>[3]СВОД_ОБЩИЙ_РФ!$D$8</f>
        <v>525000</v>
      </c>
      <c r="W1418" s="52"/>
      <c r="X1418" s="52">
        <v>2012</v>
      </c>
      <c r="Y1418" s="52"/>
    </row>
    <row r="1419" spans="2:25" s="55" customFormat="1" ht="102" outlineLevel="1">
      <c r="B1419" s="52" t="s">
        <v>1697</v>
      </c>
      <c r="C1419" s="78" t="s">
        <v>246</v>
      </c>
      <c r="D1419" s="52" t="s">
        <v>308</v>
      </c>
      <c r="E1419" s="56" t="s">
        <v>1673</v>
      </c>
      <c r="F1419" s="53" t="s">
        <v>1807</v>
      </c>
      <c r="G1419" s="53"/>
      <c r="H1419" s="53" t="s">
        <v>242</v>
      </c>
      <c r="I1419" s="52">
        <v>90</v>
      </c>
      <c r="J1419" s="52">
        <v>751000000</v>
      </c>
      <c r="K1419" s="53" t="s">
        <v>2290</v>
      </c>
      <c r="L1419" s="53" t="s">
        <v>2384</v>
      </c>
      <c r="M1419" s="53" t="s">
        <v>2290</v>
      </c>
      <c r="N1419" s="52"/>
      <c r="O1419" s="53" t="s">
        <v>2385</v>
      </c>
      <c r="P1419" s="53" t="s">
        <v>1585</v>
      </c>
      <c r="Q1419" s="52"/>
      <c r="R1419" s="52"/>
      <c r="S1419" s="54">
        <v>1</v>
      </c>
      <c r="T1419" s="52"/>
      <c r="U1419" s="54">
        <f t="shared" si="90"/>
        <v>0</v>
      </c>
      <c r="V1419" s="54">
        <v>0</v>
      </c>
      <c r="W1419" s="52"/>
      <c r="X1419" s="52">
        <v>2012</v>
      </c>
      <c r="Y1419" s="52">
        <v>21</v>
      </c>
    </row>
    <row r="1420" spans="2:25" s="55" customFormat="1" ht="102" outlineLevel="1">
      <c r="B1420" s="52" t="s">
        <v>2588</v>
      </c>
      <c r="C1420" s="78" t="s">
        <v>246</v>
      </c>
      <c r="D1420" s="52" t="s">
        <v>308</v>
      </c>
      <c r="E1420" s="56" t="s">
        <v>1673</v>
      </c>
      <c r="F1420" s="53" t="s">
        <v>1807</v>
      </c>
      <c r="G1420" s="53"/>
      <c r="H1420" s="53" t="s">
        <v>242</v>
      </c>
      <c r="I1420" s="52">
        <v>90</v>
      </c>
      <c r="J1420" s="52">
        <v>751000000</v>
      </c>
      <c r="K1420" s="53" t="s">
        <v>2290</v>
      </c>
      <c r="L1420" s="53" t="s">
        <v>2589</v>
      </c>
      <c r="M1420" s="53" t="s">
        <v>2290</v>
      </c>
      <c r="N1420" s="52"/>
      <c r="O1420" s="53" t="s">
        <v>2385</v>
      </c>
      <c r="P1420" s="53" t="s">
        <v>1585</v>
      </c>
      <c r="Q1420" s="52"/>
      <c r="R1420" s="52"/>
      <c r="S1420" s="54">
        <v>1</v>
      </c>
      <c r="T1420" s="52"/>
      <c r="U1420" s="54">
        <f t="shared" si="90"/>
        <v>15584263.392857142</v>
      </c>
      <c r="V1420" s="54">
        <f>34908750-17454375</f>
        <v>17454375</v>
      </c>
      <c r="W1420" s="52"/>
      <c r="X1420" s="52">
        <v>2012</v>
      </c>
      <c r="Y1420" s="52"/>
    </row>
    <row r="1421" spans="2:25" s="55" customFormat="1" ht="105.75" customHeight="1">
      <c r="B1421" s="52" t="s">
        <v>1698</v>
      </c>
      <c r="C1421" s="78" t="s">
        <v>246</v>
      </c>
      <c r="D1421" s="52" t="s">
        <v>1808</v>
      </c>
      <c r="E1421" s="56" t="s">
        <v>1957</v>
      </c>
      <c r="F1421" s="53" t="s">
        <v>1809</v>
      </c>
      <c r="G1421" s="53"/>
      <c r="H1421" s="52" t="s">
        <v>245</v>
      </c>
      <c r="I1421" s="52">
        <v>90</v>
      </c>
      <c r="J1421" s="52">
        <v>751000000</v>
      </c>
      <c r="K1421" s="53" t="s">
        <v>2290</v>
      </c>
      <c r="L1421" s="52" t="s">
        <v>1759</v>
      </c>
      <c r="M1421" s="53" t="s">
        <v>2290</v>
      </c>
      <c r="N1421" s="52"/>
      <c r="O1421" s="53" t="s">
        <v>1581</v>
      </c>
      <c r="P1421" s="53" t="s">
        <v>1585</v>
      </c>
      <c r="Q1421" s="52"/>
      <c r="R1421" s="52"/>
      <c r="S1421" s="54">
        <v>1</v>
      </c>
      <c r="T1421" s="52"/>
      <c r="U1421" s="54">
        <f t="shared" si="90"/>
        <v>3821428.5714285718</v>
      </c>
      <c r="V1421" s="54">
        <f>'[1]бизнес советник'!$B$28</f>
        <v>4280000</v>
      </c>
      <c r="W1421" s="52"/>
      <c r="X1421" s="52">
        <v>2012</v>
      </c>
      <c r="Y1421" s="52"/>
    </row>
    <row r="1422" spans="2:25" s="55" customFormat="1" ht="134.25" customHeight="1" outlineLevel="1">
      <c r="B1422" s="52" t="s">
        <v>1699</v>
      </c>
      <c r="C1422" s="78" t="s">
        <v>246</v>
      </c>
      <c r="D1422" s="52" t="s">
        <v>341</v>
      </c>
      <c r="E1422" s="141" t="s">
        <v>2147</v>
      </c>
      <c r="F1422" s="141" t="s">
        <v>2148</v>
      </c>
      <c r="G1422" s="141"/>
      <c r="H1422" s="53" t="s">
        <v>242</v>
      </c>
      <c r="I1422" s="52">
        <v>90</v>
      </c>
      <c r="J1422" s="52">
        <v>751000000</v>
      </c>
      <c r="K1422" s="53" t="s">
        <v>2290</v>
      </c>
      <c r="L1422" s="52" t="s">
        <v>1471</v>
      </c>
      <c r="M1422" s="53" t="s">
        <v>2290</v>
      </c>
      <c r="N1422" s="52"/>
      <c r="O1422" s="53" t="s">
        <v>2383</v>
      </c>
      <c r="P1422" s="53" t="s">
        <v>1475</v>
      </c>
      <c r="Q1422" s="52"/>
      <c r="R1422" s="52"/>
      <c r="S1422" s="54"/>
      <c r="T1422" s="52"/>
      <c r="U1422" s="54">
        <f t="shared" si="90"/>
        <v>8714285.7142857146</v>
      </c>
      <c r="V1422" s="54">
        <f>'[1]бизнес советник'!$B$42</f>
        <v>9760000</v>
      </c>
      <c r="W1422" s="52"/>
      <c r="X1422" s="52">
        <v>2012</v>
      </c>
      <c r="Y1422" s="52"/>
    </row>
    <row r="1423" spans="2:25" s="55" customFormat="1" ht="134.25" customHeight="1" outlineLevel="1">
      <c r="B1423" s="52" t="s">
        <v>1700</v>
      </c>
      <c r="C1423" s="78" t="s">
        <v>246</v>
      </c>
      <c r="D1423" s="52" t="s">
        <v>1616</v>
      </c>
      <c r="E1423" s="141" t="s">
        <v>2149</v>
      </c>
      <c r="F1423" s="53" t="s">
        <v>2150</v>
      </c>
      <c r="G1423" s="53"/>
      <c r="H1423" s="52" t="s">
        <v>243</v>
      </c>
      <c r="I1423" s="52">
        <v>75</v>
      </c>
      <c r="J1423" s="52">
        <v>751000000</v>
      </c>
      <c r="K1423" s="53" t="s">
        <v>2290</v>
      </c>
      <c r="L1423" s="52" t="s">
        <v>1471</v>
      </c>
      <c r="M1423" s="53" t="s">
        <v>2290</v>
      </c>
      <c r="N1423" s="52"/>
      <c r="O1423" s="53" t="s">
        <v>345</v>
      </c>
      <c r="P1423" s="53" t="s">
        <v>1475</v>
      </c>
      <c r="Q1423" s="52"/>
      <c r="R1423" s="52"/>
      <c r="S1423" s="54">
        <v>1</v>
      </c>
      <c r="T1423" s="52"/>
      <c r="U1423" s="54">
        <f t="shared" si="90"/>
        <v>0</v>
      </c>
      <c r="V1423" s="54">
        <v>0</v>
      </c>
      <c r="W1423" s="52"/>
      <c r="X1423" s="52">
        <v>2012</v>
      </c>
      <c r="Y1423" s="52">
        <v>11.14</v>
      </c>
    </row>
    <row r="1424" spans="2:25" s="55" customFormat="1" ht="134.25" customHeight="1" outlineLevel="1">
      <c r="B1424" s="52" t="s">
        <v>2893</v>
      </c>
      <c r="C1424" s="78" t="s">
        <v>246</v>
      </c>
      <c r="D1424" s="52" t="s">
        <v>1616</v>
      </c>
      <c r="E1424" s="141" t="s">
        <v>2149</v>
      </c>
      <c r="F1424" s="53" t="s">
        <v>2150</v>
      </c>
      <c r="G1424" s="53"/>
      <c r="H1424" s="52" t="s">
        <v>243</v>
      </c>
      <c r="I1424" s="52">
        <v>75</v>
      </c>
      <c r="J1424" s="52">
        <v>751000000</v>
      </c>
      <c r="K1424" s="53" t="s">
        <v>2290</v>
      </c>
      <c r="L1424" s="52" t="s">
        <v>1557</v>
      </c>
      <c r="M1424" s="53" t="s">
        <v>2290</v>
      </c>
      <c r="N1424" s="52"/>
      <c r="O1424" s="53" t="s">
        <v>2688</v>
      </c>
      <c r="P1424" s="53" t="s">
        <v>1475</v>
      </c>
      <c r="Q1424" s="52"/>
      <c r="R1424" s="52"/>
      <c r="S1424" s="54">
        <v>1</v>
      </c>
      <c r="T1424" s="52"/>
      <c r="U1424" s="54">
        <f t="shared" si="90"/>
        <v>2321428.5714285714</v>
      </c>
      <c r="V1424" s="54">
        <f>'[1]бизнес советник'!$B$43</f>
        <v>2600000</v>
      </c>
      <c r="W1424" s="52"/>
      <c r="X1424" s="52">
        <v>2012</v>
      </c>
      <c r="Y1424" s="52"/>
    </row>
    <row r="1425" spans="2:25" s="55" customFormat="1" ht="51" outlineLevel="1">
      <c r="B1425" s="52" t="s">
        <v>1701</v>
      </c>
      <c r="C1425" s="78" t="s">
        <v>246</v>
      </c>
      <c r="D1425" s="57" t="s">
        <v>1693</v>
      </c>
      <c r="E1425" s="56" t="s">
        <v>1694</v>
      </c>
      <c r="F1425" s="56" t="s">
        <v>1694</v>
      </c>
      <c r="G1425" s="56"/>
      <c r="H1425" s="52" t="s">
        <v>243</v>
      </c>
      <c r="I1425" s="52">
        <v>50</v>
      </c>
      <c r="J1425" s="52">
        <v>110000000</v>
      </c>
      <c r="K1425" s="56" t="s">
        <v>125</v>
      </c>
      <c r="L1425" s="53" t="s">
        <v>2302</v>
      </c>
      <c r="M1425" s="56" t="s">
        <v>125</v>
      </c>
      <c r="N1425" s="52"/>
      <c r="O1425" s="53" t="s">
        <v>1801</v>
      </c>
      <c r="P1425" s="53" t="s">
        <v>1607</v>
      </c>
      <c r="Q1425" s="52"/>
      <c r="R1425" s="52"/>
      <c r="S1425" s="54"/>
      <c r="T1425" s="56"/>
      <c r="U1425" s="54">
        <f t="shared" si="90"/>
        <v>0</v>
      </c>
      <c r="V1425" s="54">
        <v>0</v>
      </c>
      <c r="W1425" s="52"/>
      <c r="X1425" s="52">
        <v>2012</v>
      </c>
      <c r="Y1425" s="52">
        <v>11.14</v>
      </c>
    </row>
    <row r="1426" spans="2:25" s="55" customFormat="1" ht="51" outlineLevel="1">
      <c r="B1426" s="52" t="s">
        <v>2894</v>
      </c>
      <c r="C1426" s="78" t="s">
        <v>246</v>
      </c>
      <c r="D1426" s="57" t="s">
        <v>1693</v>
      </c>
      <c r="E1426" s="56" t="s">
        <v>1694</v>
      </c>
      <c r="F1426" s="56" t="s">
        <v>1694</v>
      </c>
      <c r="G1426" s="56"/>
      <c r="H1426" s="52" t="s">
        <v>243</v>
      </c>
      <c r="I1426" s="52">
        <v>50</v>
      </c>
      <c r="J1426" s="52">
        <v>110000000</v>
      </c>
      <c r="K1426" s="56" t="s">
        <v>125</v>
      </c>
      <c r="L1426" s="53" t="s">
        <v>1502</v>
      </c>
      <c r="M1426" s="56" t="s">
        <v>125</v>
      </c>
      <c r="N1426" s="52"/>
      <c r="O1426" s="53" t="s">
        <v>2385</v>
      </c>
      <c r="P1426" s="53" t="s">
        <v>1607</v>
      </c>
      <c r="Q1426" s="52"/>
      <c r="R1426" s="52"/>
      <c r="S1426" s="54"/>
      <c r="T1426" s="56"/>
      <c r="U1426" s="54">
        <f t="shared" si="90"/>
        <v>233100.00000000006</v>
      </c>
      <c r="V1426" s="54">
        <f>[3]СВОД_ОБЩИЙ_РФ!$S$9</f>
        <v>261072.00000000003</v>
      </c>
      <c r="W1426" s="52"/>
      <c r="X1426" s="52">
        <v>2012</v>
      </c>
      <c r="Y1426" s="52"/>
    </row>
    <row r="1427" spans="2:25" s="55" customFormat="1" ht="51" outlineLevel="1">
      <c r="B1427" s="52" t="s">
        <v>1702</v>
      </c>
      <c r="C1427" s="78" t="s">
        <v>246</v>
      </c>
      <c r="D1427" s="57" t="s">
        <v>1693</v>
      </c>
      <c r="E1427" s="56" t="s">
        <v>1694</v>
      </c>
      <c r="F1427" s="56" t="s">
        <v>1694</v>
      </c>
      <c r="G1427" s="56"/>
      <c r="H1427" s="52" t="s">
        <v>243</v>
      </c>
      <c r="I1427" s="52">
        <v>50</v>
      </c>
      <c r="J1427" s="52">
        <v>150000000</v>
      </c>
      <c r="K1427" s="56" t="s">
        <v>126</v>
      </c>
      <c r="L1427" s="53" t="s">
        <v>1797</v>
      </c>
      <c r="M1427" s="56" t="s">
        <v>126</v>
      </c>
      <c r="N1427" s="52"/>
      <c r="O1427" s="53" t="s">
        <v>1798</v>
      </c>
      <c r="P1427" s="53" t="s">
        <v>1607</v>
      </c>
      <c r="Q1427" s="52"/>
      <c r="R1427" s="52"/>
      <c r="S1427" s="54"/>
      <c r="T1427" s="56"/>
      <c r="U1427" s="54">
        <f t="shared" si="90"/>
        <v>0</v>
      </c>
      <c r="V1427" s="54">
        <v>0</v>
      </c>
      <c r="W1427" s="52"/>
      <c r="X1427" s="52">
        <v>2012</v>
      </c>
      <c r="Y1427" s="52">
        <v>11.14</v>
      </c>
    </row>
    <row r="1428" spans="2:25" s="55" customFormat="1" ht="51" outlineLevel="1">
      <c r="B1428" s="52" t="s">
        <v>2895</v>
      </c>
      <c r="C1428" s="78" t="s">
        <v>246</v>
      </c>
      <c r="D1428" s="57" t="s">
        <v>1693</v>
      </c>
      <c r="E1428" s="56" t="s">
        <v>1694</v>
      </c>
      <c r="F1428" s="56" t="s">
        <v>1694</v>
      </c>
      <c r="G1428" s="56"/>
      <c r="H1428" s="52" t="s">
        <v>243</v>
      </c>
      <c r="I1428" s="52">
        <v>50</v>
      </c>
      <c r="J1428" s="52">
        <v>150000000</v>
      </c>
      <c r="K1428" s="56" t="s">
        <v>126</v>
      </c>
      <c r="L1428" s="53" t="s">
        <v>1502</v>
      </c>
      <c r="M1428" s="56" t="s">
        <v>126</v>
      </c>
      <c r="N1428" s="52"/>
      <c r="O1428" s="53" t="s">
        <v>2385</v>
      </c>
      <c r="P1428" s="53" t="s">
        <v>1607</v>
      </c>
      <c r="Q1428" s="52"/>
      <c r="R1428" s="52"/>
      <c r="S1428" s="54"/>
      <c r="T1428" s="56"/>
      <c r="U1428" s="54">
        <f t="shared" si="90"/>
        <v>345300</v>
      </c>
      <c r="V1428" s="54">
        <f>[3]СВОД_ОБЩИЙ_РФ!$E$9</f>
        <v>386736</v>
      </c>
      <c r="W1428" s="52"/>
      <c r="X1428" s="52">
        <v>2012</v>
      </c>
      <c r="Y1428" s="52"/>
    </row>
    <row r="1429" spans="2:25" s="55" customFormat="1" ht="51" outlineLevel="1">
      <c r="B1429" s="52" t="s">
        <v>1703</v>
      </c>
      <c r="C1429" s="79" t="s">
        <v>246</v>
      </c>
      <c r="D1429" s="142" t="s">
        <v>1693</v>
      </c>
      <c r="E1429" s="63" t="s">
        <v>1694</v>
      </c>
      <c r="F1429" s="63" t="s">
        <v>1694</v>
      </c>
      <c r="G1429" s="63"/>
      <c r="H1429" s="60" t="s">
        <v>243</v>
      </c>
      <c r="I1429" s="60">
        <v>50</v>
      </c>
      <c r="J1429" s="60">
        <v>190000000</v>
      </c>
      <c r="K1429" s="63" t="s">
        <v>117</v>
      </c>
      <c r="L1429" s="53" t="s">
        <v>1574</v>
      </c>
      <c r="M1429" s="56" t="s">
        <v>117</v>
      </c>
      <c r="N1429" s="52"/>
      <c r="O1429" s="53" t="s">
        <v>1800</v>
      </c>
      <c r="P1429" s="61" t="s">
        <v>1607</v>
      </c>
      <c r="Q1429" s="60"/>
      <c r="R1429" s="60"/>
      <c r="S1429" s="62"/>
      <c r="T1429" s="63"/>
      <c r="U1429" s="54">
        <f t="shared" si="90"/>
        <v>0</v>
      </c>
      <c r="V1429" s="62">
        <v>0</v>
      </c>
      <c r="W1429" s="52"/>
      <c r="X1429" s="52">
        <v>2012</v>
      </c>
      <c r="Y1429" s="60">
        <v>11.14</v>
      </c>
    </row>
    <row r="1430" spans="2:25" s="55" customFormat="1" ht="51" outlineLevel="1">
      <c r="B1430" s="52" t="s">
        <v>2896</v>
      </c>
      <c r="C1430" s="79" t="s">
        <v>246</v>
      </c>
      <c r="D1430" s="142" t="s">
        <v>1693</v>
      </c>
      <c r="E1430" s="63" t="s">
        <v>1694</v>
      </c>
      <c r="F1430" s="63" t="s">
        <v>1694</v>
      </c>
      <c r="G1430" s="63"/>
      <c r="H1430" s="60" t="s">
        <v>243</v>
      </c>
      <c r="I1430" s="60">
        <v>50</v>
      </c>
      <c r="J1430" s="60">
        <v>190000000</v>
      </c>
      <c r="K1430" s="63" t="s">
        <v>117</v>
      </c>
      <c r="L1430" s="53" t="s">
        <v>1502</v>
      </c>
      <c r="M1430" s="56" t="s">
        <v>117</v>
      </c>
      <c r="N1430" s="52"/>
      <c r="O1430" s="53" t="s">
        <v>2385</v>
      </c>
      <c r="P1430" s="61" t="s">
        <v>1607</v>
      </c>
      <c r="Q1430" s="60"/>
      <c r="R1430" s="60"/>
      <c r="S1430" s="62"/>
      <c r="T1430" s="63"/>
      <c r="U1430" s="54">
        <f t="shared" si="90"/>
        <v>908571.42857142864</v>
      </c>
      <c r="V1430" s="62">
        <f>[3]СВОД_ОБЩИЙ_РФ!$R$9</f>
        <v>1017600</v>
      </c>
      <c r="W1430" s="52"/>
      <c r="X1430" s="52">
        <v>2012</v>
      </c>
      <c r="Y1430" s="60"/>
    </row>
    <row r="1431" spans="2:25" s="55" customFormat="1" ht="51" outlineLevel="1">
      <c r="B1431" s="52" t="s">
        <v>1704</v>
      </c>
      <c r="C1431" s="78" t="s">
        <v>246</v>
      </c>
      <c r="D1431" s="57" t="s">
        <v>1693</v>
      </c>
      <c r="E1431" s="56" t="s">
        <v>1694</v>
      </c>
      <c r="F1431" s="56" t="s">
        <v>1694</v>
      </c>
      <c r="G1431" s="56"/>
      <c r="H1431" s="52" t="s">
        <v>243</v>
      </c>
      <c r="I1431" s="52">
        <v>50</v>
      </c>
      <c r="J1431" s="52">
        <v>711000000</v>
      </c>
      <c r="K1431" s="56" t="s">
        <v>151</v>
      </c>
      <c r="L1431" s="81" t="s">
        <v>2382</v>
      </c>
      <c r="M1431" s="53" t="s">
        <v>1816</v>
      </c>
      <c r="N1431" s="52"/>
      <c r="O1431" s="81" t="s">
        <v>2382</v>
      </c>
      <c r="P1431" s="53" t="s">
        <v>1607</v>
      </c>
      <c r="Q1431" s="52"/>
      <c r="R1431" s="52"/>
      <c r="S1431" s="54"/>
      <c r="T1431" s="56"/>
      <c r="U1431" s="54">
        <f t="shared" si="90"/>
        <v>0</v>
      </c>
      <c r="V1431" s="54">
        <v>0</v>
      </c>
      <c r="W1431" s="52"/>
      <c r="X1431" s="52">
        <v>2012</v>
      </c>
      <c r="Y1431" s="52">
        <v>11.14</v>
      </c>
    </row>
    <row r="1432" spans="2:25" s="55" customFormat="1" ht="51" outlineLevel="1">
      <c r="B1432" s="52" t="s">
        <v>2897</v>
      </c>
      <c r="C1432" s="78" t="s">
        <v>246</v>
      </c>
      <c r="D1432" s="57" t="s">
        <v>1693</v>
      </c>
      <c r="E1432" s="56" t="s">
        <v>1694</v>
      </c>
      <c r="F1432" s="56" t="s">
        <v>1694</v>
      </c>
      <c r="G1432" s="56"/>
      <c r="H1432" s="52" t="s">
        <v>243</v>
      </c>
      <c r="I1432" s="52">
        <v>50</v>
      </c>
      <c r="J1432" s="52">
        <v>711000000</v>
      </c>
      <c r="K1432" s="56" t="s">
        <v>151</v>
      </c>
      <c r="L1432" s="53" t="s">
        <v>1502</v>
      </c>
      <c r="M1432" s="53" t="s">
        <v>1816</v>
      </c>
      <c r="N1432" s="52"/>
      <c r="O1432" s="53" t="s">
        <v>2385</v>
      </c>
      <c r="P1432" s="53" t="s">
        <v>1607</v>
      </c>
      <c r="Q1432" s="52"/>
      <c r="R1432" s="52"/>
      <c r="S1432" s="54"/>
      <c r="T1432" s="56"/>
      <c r="U1432" s="54">
        <f t="shared" si="90"/>
        <v>193980</v>
      </c>
      <c r="V1432" s="54">
        <f>[3]СВОД_ОБЩИЙ_РФ!$D$9</f>
        <v>217257.60000000001</v>
      </c>
      <c r="W1432" s="52"/>
      <c r="X1432" s="52">
        <v>2012</v>
      </c>
      <c r="Y1432" s="52"/>
    </row>
    <row r="1433" spans="2:25" s="55" customFormat="1" ht="51" outlineLevel="1">
      <c r="B1433" s="52" t="s">
        <v>1705</v>
      </c>
      <c r="C1433" s="78" t="s">
        <v>246</v>
      </c>
      <c r="D1433" s="57" t="s">
        <v>1693</v>
      </c>
      <c r="E1433" s="56" t="s">
        <v>1694</v>
      </c>
      <c r="F1433" s="56" t="s">
        <v>1694</v>
      </c>
      <c r="G1433" s="56"/>
      <c r="H1433" s="52" t="s">
        <v>243</v>
      </c>
      <c r="I1433" s="52">
        <v>50</v>
      </c>
      <c r="J1433" s="52">
        <v>751000000</v>
      </c>
      <c r="K1433" s="63" t="s">
        <v>1437</v>
      </c>
      <c r="L1433" s="53" t="s">
        <v>1548</v>
      </c>
      <c r="M1433" s="63" t="s">
        <v>1437</v>
      </c>
      <c r="N1433" s="52"/>
      <c r="O1433" s="53" t="s">
        <v>2373</v>
      </c>
      <c r="P1433" s="53" t="s">
        <v>1607</v>
      </c>
      <c r="Q1433" s="52"/>
      <c r="R1433" s="52"/>
      <c r="S1433" s="54"/>
      <c r="T1433" s="63"/>
      <c r="U1433" s="54">
        <f t="shared" si="90"/>
        <v>0</v>
      </c>
      <c r="V1433" s="54">
        <v>0</v>
      </c>
      <c r="W1433" s="52"/>
      <c r="X1433" s="52">
        <v>2012</v>
      </c>
      <c r="Y1433" s="52">
        <v>11.14</v>
      </c>
    </row>
    <row r="1434" spans="2:25" s="55" customFormat="1" ht="51" outlineLevel="1">
      <c r="B1434" s="52" t="s">
        <v>2898</v>
      </c>
      <c r="C1434" s="78" t="s">
        <v>246</v>
      </c>
      <c r="D1434" s="57" t="s">
        <v>1693</v>
      </c>
      <c r="E1434" s="56" t="s">
        <v>1694</v>
      </c>
      <c r="F1434" s="56" t="s">
        <v>1694</v>
      </c>
      <c r="G1434" s="56"/>
      <c r="H1434" s="52" t="s">
        <v>243</v>
      </c>
      <c r="I1434" s="52">
        <v>50</v>
      </c>
      <c r="J1434" s="52">
        <v>751000000</v>
      </c>
      <c r="K1434" s="63" t="s">
        <v>1437</v>
      </c>
      <c r="L1434" s="53" t="s">
        <v>1502</v>
      </c>
      <c r="M1434" s="63" t="s">
        <v>1437</v>
      </c>
      <c r="N1434" s="52"/>
      <c r="O1434" s="53" t="s">
        <v>2385</v>
      </c>
      <c r="P1434" s="53" t="s">
        <v>1607</v>
      </c>
      <c r="Q1434" s="52"/>
      <c r="R1434" s="52"/>
      <c r="S1434" s="54"/>
      <c r="T1434" s="63"/>
      <c r="U1434" s="54">
        <f t="shared" si="90"/>
        <v>451285.71428571432</v>
      </c>
      <c r="V1434" s="54">
        <f>[3]СВОД_ОБЩИЙ_РФ!$L$9</f>
        <v>505440</v>
      </c>
      <c r="W1434" s="52"/>
      <c r="X1434" s="52">
        <v>2012</v>
      </c>
      <c r="Y1434" s="52"/>
    </row>
    <row r="1435" spans="2:25" s="55" customFormat="1" ht="51" outlineLevel="1">
      <c r="B1435" s="52" t="s">
        <v>1706</v>
      </c>
      <c r="C1435" s="78" t="s">
        <v>246</v>
      </c>
      <c r="D1435" s="57" t="s">
        <v>1693</v>
      </c>
      <c r="E1435" s="56" t="s">
        <v>1694</v>
      </c>
      <c r="F1435" s="56" t="s">
        <v>1694</v>
      </c>
      <c r="G1435" s="56"/>
      <c r="H1435" s="52" t="s">
        <v>243</v>
      </c>
      <c r="I1435" s="52">
        <v>100</v>
      </c>
      <c r="J1435" s="52">
        <v>230000000</v>
      </c>
      <c r="K1435" s="56" t="s">
        <v>118</v>
      </c>
      <c r="L1435" s="53" t="s">
        <v>1574</v>
      </c>
      <c r="M1435" s="56" t="s">
        <v>118</v>
      </c>
      <c r="N1435" s="52"/>
      <c r="O1435" s="53" t="s">
        <v>2381</v>
      </c>
      <c r="P1435" s="53" t="s">
        <v>1607</v>
      </c>
      <c r="Q1435" s="52"/>
      <c r="R1435" s="52"/>
      <c r="S1435" s="54"/>
      <c r="T1435" s="56"/>
      <c r="U1435" s="54">
        <f t="shared" si="90"/>
        <v>0</v>
      </c>
      <c r="V1435" s="54">
        <v>0</v>
      </c>
      <c r="W1435" s="52"/>
      <c r="X1435" s="52">
        <v>2012</v>
      </c>
      <c r="Y1435" s="52">
        <v>11.14</v>
      </c>
    </row>
    <row r="1436" spans="2:25" s="55" customFormat="1" ht="51" outlineLevel="1">
      <c r="B1436" s="52" t="s">
        <v>2899</v>
      </c>
      <c r="C1436" s="78" t="s">
        <v>246</v>
      </c>
      <c r="D1436" s="57" t="s">
        <v>1693</v>
      </c>
      <c r="E1436" s="56" t="s">
        <v>1694</v>
      </c>
      <c r="F1436" s="56" t="s">
        <v>1694</v>
      </c>
      <c r="G1436" s="56"/>
      <c r="H1436" s="52" t="s">
        <v>243</v>
      </c>
      <c r="I1436" s="52">
        <v>100</v>
      </c>
      <c r="J1436" s="52">
        <v>230000000</v>
      </c>
      <c r="K1436" s="56" t="s">
        <v>118</v>
      </c>
      <c r="L1436" s="53" t="s">
        <v>1502</v>
      </c>
      <c r="M1436" s="56" t="s">
        <v>118</v>
      </c>
      <c r="N1436" s="52"/>
      <c r="O1436" s="53" t="s">
        <v>2385</v>
      </c>
      <c r="P1436" s="53" t="s">
        <v>1607</v>
      </c>
      <c r="Q1436" s="52"/>
      <c r="R1436" s="52"/>
      <c r="S1436" s="54"/>
      <c r="T1436" s="56"/>
      <c r="U1436" s="54">
        <f t="shared" si="90"/>
        <v>220000</v>
      </c>
      <c r="V1436" s="54">
        <f>[3]СВОД_ОБЩИЙ_РФ!$F$9</f>
        <v>246400</v>
      </c>
      <c r="W1436" s="52"/>
      <c r="X1436" s="52">
        <v>2012</v>
      </c>
      <c r="Y1436" s="52"/>
    </row>
    <row r="1437" spans="2:25" s="55" customFormat="1" ht="51" outlineLevel="1">
      <c r="B1437" s="52" t="s">
        <v>1707</v>
      </c>
      <c r="C1437" s="78" t="s">
        <v>246</v>
      </c>
      <c r="D1437" s="57" t="s">
        <v>1693</v>
      </c>
      <c r="E1437" s="56" t="s">
        <v>1694</v>
      </c>
      <c r="F1437" s="56" t="s">
        <v>1694</v>
      </c>
      <c r="G1437" s="56"/>
      <c r="H1437" s="52" t="s">
        <v>243</v>
      </c>
      <c r="I1437" s="52">
        <v>50</v>
      </c>
      <c r="J1437" s="52">
        <v>630000000</v>
      </c>
      <c r="K1437" s="56" t="s">
        <v>97</v>
      </c>
      <c r="L1437" s="53" t="s">
        <v>1502</v>
      </c>
      <c r="M1437" s="56" t="s">
        <v>97</v>
      </c>
      <c r="N1437" s="52"/>
      <c r="O1437" s="53" t="s">
        <v>2380</v>
      </c>
      <c r="P1437" s="53" t="s">
        <v>1607</v>
      </c>
      <c r="Q1437" s="52"/>
      <c r="R1437" s="52"/>
      <c r="S1437" s="54"/>
      <c r="T1437" s="56"/>
      <c r="U1437" s="54">
        <f t="shared" si="90"/>
        <v>0</v>
      </c>
      <c r="V1437" s="54">
        <v>0</v>
      </c>
      <c r="W1437" s="52"/>
      <c r="X1437" s="52">
        <v>2012</v>
      </c>
      <c r="Y1437" s="52">
        <v>11.14</v>
      </c>
    </row>
    <row r="1438" spans="2:25" s="55" customFormat="1" ht="51" outlineLevel="1">
      <c r="B1438" s="52" t="s">
        <v>2900</v>
      </c>
      <c r="C1438" s="78" t="s">
        <v>246</v>
      </c>
      <c r="D1438" s="57" t="s">
        <v>1693</v>
      </c>
      <c r="E1438" s="56" t="s">
        <v>1694</v>
      </c>
      <c r="F1438" s="56" t="s">
        <v>1694</v>
      </c>
      <c r="G1438" s="56"/>
      <c r="H1438" s="52" t="s">
        <v>243</v>
      </c>
      <c r="I1438" s="52">
        <v>50</v>
      </c>
      <c r="J1438" s="52">
        <v>630000000</v>
      </c>
      <c r="K1438" s="56" t="s">
        <v>97</v>
      </c>
      <c r="L1438" s="53" t="s">
        <v>1502</v>
      </c>
      <c r="M1438" s="56" t="s">
        <v>97</v>
      </c>
      <c r="N1438" s="52"/>
      <c r="O1438" s="53" t="s">
        <v>2385</v>
      </c>
      <c r="P1438" s="53" t="s">
        <v>1607</v>
      </c>
      <c r="Q1438" s="52"/>
      <c r="R1438" s="52"/>
      <c r="S1438" s="54"/>
      <c r="T1438" s="56"/>
      <c r="U1438" s="54">
        <f t="shared" si="90"/>
        <v>498438.39285714284</v>
      </c>
      <c r="V1438" s="54">
        <f>[3]СВОД_ОБЩИЙ_РФ!$Q$9</f>
        <v>558251</v>
      </c>
      <c r="W1438" s="52"/>
      <c r="X1438" s="52">
        <v>2012</v>
      </c>
      <c r="Y1438" s="52"/>
    </row>
    <row r="1439" spans="2:25" s="55" customFormat="1" ht="51" outlineLevel="1">
      <c r="B1439" s="52" t="s">
        <v>1708</v>
      </c>
      <c r="C1439" s="78" t="s">
        <v>246</v>
      </c>
      <c r="D1439" s="57" t="s">
        <v>1693</v>
      </c>
      <c r="E1439" s="56" t="s">
        <v>1694</v>
      </c>
      <c r="F1439" s="56" t="s">
        <v>1694</v>
      </c>
      <c r="G1439" s="56"/>
      <c r="H1439" s="52" t="s">
        <v>243</v>
      </c>
      <c r="I1439" s="52">
        <v>50</v>
      </c>
      <c r="J1439" s="52">
        <v>310000000</v>
      </c>
      <c r="K1439" s="56" t="s">
        <v>119</v>
      </c>
      <c r="L1439" s="53" t="s">
        <v>1801</v>
      </c>
      <c r="M1439" s="56" t="s">
        <v>119</v>
      </c>
      <c r="N1439" s="52"/>
      <c r="O1439" s="53" t="s">
        <v>2371</v>
      </c>
      <c r="P1439" s="53" t="s">
        <v>1607</v>
      </c>
      <c r="Q1439" s="52"/>
      <c r="R1439" s="52"/>
      <c r="S1439" s="54"/>
      <c r="T1439" s="56"/>
      <c r="U1439" s="54">
        <f t="shared" si="90"/>
        <v>0</v>
      </c>
      <c r="V1439" s="54">
        <v>0</v>
      </c>
      <c r="W1439" s="52"/>
      <c r="X1439" s="52">
        <v>2012</v>
      </c>
      <c r="Y1439" s="52">
        <v>11.14</v>
      </c>
    </row>
    <row r="1440" spans="2:25" s="55" customFormat="1" ht="51" outlineLevel="1">
      <c r="B1440" s="52" t="s">
        <v>2901</v>
      </c>
      <c r="C1440" s="78" t="s">
        <v>246</v>
      </c>
      <c r="D1440" s="57" t="s">
        <v>1693</v>
      </c>
      <c r="E1440" s="56" t="s">
        <v>1694</v>
      </c>
      <c r="F1440" s="56" t="s">
        <v>1694</v>
      </c>
      <c r="G1440" s="56"/>
      <c r="H1440" s="52" t="s">
        <v>243</v>
      </c>
      <c r="I1440" s="52">
        <v>50</v>
      </c>
      <c r="J1440" s="52">
        <v>310000000</v>
      </c>
      <c r="K1440" s="56" t="s">
        <v>119</v>
      </c>
      <c r="L1440" s="53" t="s">
        <v>1502</v>
      </c>
      <c r="M1440" s="56" t="s">
        <v>119</v>
      </c>
      <c r="N1440" s="52"/>
      <c r="O1440" s="53" t="s">
        <v>2385</v>
      </c>
      <c r="P1440" s="53" t="s">
        <v>1607</v>
      </c>
      <c r="Q1440" s="52"/>
      <c r="R1440" s="52"/>
      <c r="S1440" s="54"/>
      <c r="T1440" s="56"/>
      <c r="U1440" s="54">
        <f t="shared" si="90"/>
        <v>238250</v>
      </c>
      <c r="V1440" s="54">
        <v>266840</v>
      </c>
      <c r="W1440" s="52"/>
      <c r="X1440" s="52">
        <v>2012</v>
      </c>
      <c r="Y1440" s="52"/>
    </row>
    <row r="1441" spans="2:25" s="55" customFormat="1" ht="51" outlineLevel="1">
      <c r="B1441" s="52" t="s">
        <v>1709</v>
      </c>
      <c r="C1441" s="78" t="s">
        <v>246</v>
      </c>
      <c r="D1441" s="57" t="s">
        <v>1693</v>
      </c>
      <c r="E1441" s="56" t="s">
        <v>1694</v>
      </c>
      <c r="F1441" s="56" t="s">
        <v>1694</v>
      </c>
      <c r="G1441" s="56"/>
      <c r="H1441" s="52" t="s">
        <v>243</v>
      </c>
      <c r="I1441" s="52">
        <v>50</v>
      </c>
      <c r="J1441" s="52">
        <v>270000000</v>
      </c>
      <c r="K1441" s="56" t="s">
        <v>98</v>
      </c>
      <c r="L1441" s="53" t="s">
        <v>1574</v>
      </c>
      <c r="M1441" s="56" t="s">
        <v>98</v>
      </c>
      <c r="N1441" s="52"/>
      <c r="O1441" s="53" t="s">
        <v>2304</v>
      </c>
      <c r="P1441" s="53" t="s">
        <v>1607</v>
      </c>
      <c r="Q1441" s="52"/>
      <c r="R1441" s="52"/>
      <c r="S1441" s="54"/>
      <c r="T1441" s="56"/>
      <c r="U1441" s="54">
        <f t="shared" si="90"/>
        <v>0</v>
      </c>
      <c r="V1441" s="54">
        <v>0</v>
      </c>
      <c r="W1441" s="52"/>
      <c r="X1441" s="52">
        <v>2012</v>
      </c>
      <c r="Y1441" s="52">
        <v>11.14</v>
      </c>
    </row>
    <row r="1442" spans="2:25" s="55" customFormat="1" ht="51" outlineLevel="1">
      <c r="B1442" s="52" t="s">
        <v>2902</v>
      </c>
      <c r="C1442" s="78" t="s">
        <v>246</v>
      </c>
      <c r="D1442" s="57" t="s">
        <v>1693</v>
      </c>
      <c r="E1442" s="56" t="s">
        <v>1694</v>
      </c>
      <c r="F1442" s="56" t="s">
        <v>1694</v>
      </c>
      <c r="G1442" s="56"/>
      <c r="H1442" s="52" t="s">
        <v>243</v>
      </c>
      <c r="I1442" s="52">
        <v>50</v>
      </c>
      <c r="J1442" s="52">
        <v>270000000</v>
      </c>
      <c r="K1442" s="56" t="s">
        <v>98</v>
      </c>
      <c r="L1442" s="53" t="s">
        <v>1502</v>
      </c>
      <c r="M1442" s="56" t="s">
        <v>98</v>
      </c>
      <c r="N1442" s="52"/>
      <c r="O1442" s="53" t="s">
        <v>2385</v>
      </c>
      <c r="P1442" s="53" t="s">
        <v>1607</v>
      </c>
      <c r="Q1442" s="52"/>
      <c r="R1442" s="52"/>
      <c r="S1442" s="54"/>
      <c r="T1442" s="56"/>
      <c r="U1442" s="54">
        <f t="shared" si="90"/>
        <v>250379.99999999997</v>
      </c>
      <c r="V1442" s="54">
        <f>[3]СВОД_ОБЩИЙ_РФ!$O$9</f>
        <v>280425.59999999998</v>
      </c>
      <c r="W1442" s="52"/>
      <c r="X1442" s="52">
        <v>2012</v>
      </c>
      <c r="Y1442" s="52"/>
    </row>
    <row r="1443" spans="2:25" s="55" customFormat="1" ht="55.5" customHeight="1" outlineLevel="1">
      <c r="B1443" s="52" t="s">
        <v>2072</v>
      </c>
      <c r="C1443" s="78" t="s">
        <v>246</v>
      </c>
      <c r="D1443" s="57" t="s">
        <v>1693</v>
      </c>
      <c r="E1443" s="56" t="s">
        <v>1694</v>
      </c>
      <c r="F1443" s="56" t="s">
        <v>1694</v>
      </c>
      <c r="G1443" s="56"/>
      <c r="H1443" s="52" t="s">
        <v>243</v>
      </c>
      <c r="I1443" s="52">
        <v>50</v>
      </c>
      <c r="J1443" s="52">
        <v>350000000</v>
      </c>
      <c r="K1443" s="56" t="s">
        <v>120</v>
      </c>
      <c r="L1443" s="53" t="s">
        <v>2159</v>
      </c>
      <c r="M1443" s="56" t="s">
        <v>120</v>
      </c>
      <c r="N1443" s="52"/>
      <c r="O1443" s="53" t="s">
        <v>2160</v>
      </c>
      <c r="P1443" s="53" t="s">
        <v>1607</v>
      </c>
      <c r="Q1443" s="52"/>
      <c r="R1443" s="52"/>
      <c r="S1443" s="54"/>
      <c r="T1443" s="56"/>
      <c r="U1443" s="54">
        <f t="shared" si="90"/>
        <v>0</v>
      </c>
      <c r="V1443" s="54">
        <v>0</v>
      </c>
      <c r="W1443" s="52"/>
      <c r="X1443" s="52">
        <v>2012</v>
      </c>
      <c r="Y1443" s="52">
        <v>11.14</v>
      </c>
    </row>
    <row r="1444" spans="2:25" s="55" customFormat="1" ht="55.5" customHeight="1" outlineLevel="1">
      <c r="B1444" s="52" t="s">
        <v>2903</v>
      </c>
      <c r="C1444" s="78" t="s">
        <v>246</v>
      </c>
      <c r="D1444" s="57" t="s">
        <v>1693</v>
      </c>
      <c r="E1444" s="56" t="s">
        <v>1694</v>
      </c>
      <c r="F1444" s="56" t="s">
        <v>1694</v>
      </c>
      <c r="G1444" s="56"/>
      <c r="H1444" s="52" t="s">
        <v>243</v>
      </c>
      <c r="I1444" s="52">
        <v>50</v>
      </c>
      <c r="J1444" s="52">
        <v>350000000</v>
      </c>
      <c r="K1444" s="56" t="s">
        <v>120</v>
      </c>
      <c r="L1444" s="53" t="s">
        <v>1502</v>
      </c>
      <c r="M1444" s="56" t="s">
        <v>120</v>
      </c>
      <c r="N1444" s="52"/>
      <c r="O1444" s="53" t="s">
        <v>2385</v>
      </c>
      <c r="P1444" s="53" t="s">
        <v>1607</v>
      </c>
      <c r="Q1444" s="52"/>
      <c r="R1444" s="52"/>
      <c r="S1444" s="54"/>
      <c r="T1444" s="56"/>
      <c r="U1444" s="54">
        <f t="shared" si="90"/>
        <v>1061100</v>
      </c>
      <c r="V1444" s="54">
        <f>[3]СВОД_ОБЩИЙ_РФ!$N$9</f>
        <v>1188432</v>
      </c>
      <c r="W1444" s="52"/>
      <c r="X1444" s="52">
        <v>2012</v>
      </c>
      <c r="Y1444" s="52"/>
    </row>
    <row r="1445" spans="2:25" s="55" customFormat="1" ht="51" outlineLevel="1">
      <c r="B1445" s="52" t="s">
        <v>2073</v>
      </c>
      <c r="C1445" s="78" t="s">
        <v>246</v>
      </c>
      <c r="D1445" s="57" t="s">
        <v>1693</v>
      </c>
      <c r="E1445" s="56" t="s">
        <v>1694</v>
      </c>
      <c r="F1445" s="56" t="s">
        <v>1694</v>
      </c>
      <c r="G1445" s="56"/>
      <c r="H1445" s="52" t="s">
        <v>243</v>
      </c>
      <c r="I1445" s="52">
        <v>50</v>
      </c>
      <c r="J1445" s="52">
        <v>390000000</v>
      </c>
      <c r="K1445" s="56" t="s">
        <v>121</v>
      </c>
      <c r="L1445" s="53" t="s">
        <v>2369</v>
      </c>
      <c r="M1445" s="56" t="s">
        <v>121</v>
      </c>
      <c r="N1445" s="52"/>
      <c r="O1445" s="53" t="s">
        <v>2369</v>
      </c>
      <c r="P1445" s="53" t="s">
        <v>1607</v>
      </c>
      <c r="Q1445" s="52"/>
      <c r="R1445" s="52"/>
      <c r="S1445" s="54"/>
      <c r="T1445" s="56"/>
      <c r="U1445" s="54">
        <f t="shared" si="90"/>
        <v>0</v>
      </c>
      <c r="V1445" s="54">
        <v>0</v>
      </c>
      <c r="W1445" s="52"/>
      <c r="X1445" s="52">
        <v>2012</v>
      </c>
      <c r="Y1445" s="52">
        <v>11.14</v>
      </c>
    </row>
    <row r="1446" spans="2:25" s="55" customFormat="1" ht="51" outlineLevel="1">
      <c r="B1446" s="52" t="s">
        <v>2904</v>
      </c>
      <c r="C1446" s="78" t="s">
        <v>246</v>
      </c>
      <c r="D1446" s="57" t="s">
        <v>1693</v>
      </c>
      <c r="E1446" s="56" t="s">
        <v>1694</v>
      </c>
      <c r="F1446" s="56" t="s">
        <v>1694</v>
      </c>
      <c r="G1446" s="56"/>
      <c r="H1446" s="52" t="s">
        <v>243</v>
      </c>
      <c r="I1446" s="52">
        <v>50</v>
      </c>
      <c r="J1446" s="52">
        <v>390000000</v>
      </c>
      <c r="K1446" s="56" t="s">
        <v>121</v>
      </c>
      <c r="L1446" s="53" t="s">
        <v>1502</v>
      </c>
      <c r="M1446" s="56" t="s">
        <v>121</v>
      </c>
      <c r="N1446" s="52"/>
      <c r="O1446" s="53" t="s">
        <v>2385</v>
      </c>
      <c r="P1446" s="53" t="s">
        <v>1607</v>
      </c>
      <c r="Q1446" s="52"/>
      <c r="R1446" s="52"/>
      <c r="S1446" s="54"/>
      <c r="T1446" s="56"/>
      <c r="U1446" s="54">
        <f t="shared" si="90"/>
        <v>318750</v>
      </c>
      <c r="V1446" s="54">
        <f>[3]СВОД_ОБЩИЙ_РФ!$I$9</f>
        <v>357000</v>
      </c>
      <c r="W1446" s="52"/>
      <c r="X1446" s="52">
        <v>2012</v>
      </c>
      <c r="Y1446" s="52"/>
    </row>
    <row r="1447" spans="2:25" s="55" customFormat="1" ht="51" outlineLevel="1">
      <c r="B1447" s="52" t="s">
        <v>2074</v>
      </c>
      <c r="C1447" s="78" t="s">
        <v>246</v>
      </c>
      <c r="D1447" s="57" t="s">
        <v>1693</v>
      </c>
      <c r="E1447" s="56" t="s">
        <v>1694</v>
      </c>
      <c r="F1447" s="56" t="s">
        <v>1694</v>
      </c>
      <c r="G1447" s="56"/>
      <c r="H1447" s="52" t="s">
        <v>243</v>
      </c>
      <c r="I1447" s="52">
        <v>50</v>
      </c>
      <c r="J1447" s="52">
        <v>430000000</v>
      </c>
      <c r="K1447" s="56" t="s">
        <v>122</v>
      </c>
      <c r="L1447" s="53" t="s">
        <v>1502</v>
      </c>
      <c r="M1447" s="56" t="s">
        <v>122</v>
      </c>
      <c r="N1447" s="52"/>
      <c r="O1447" s="53" t="s">
        <v>2374</v>
      </c>
      <c r="P1447" s="53" t="s">
        <v>1607</v>
      </c>
      <c r="Q1447" s="52"/>
      <c r="R1447" s="52"/>
      <c r="S1447" s="54"/>
      <c r="T1447" s="56"/>
      <c r="U1447" s="54">
        <f t="shared" si="90"/>
        <v>0</v>
      </c>
      <c r="V1447" s="54">
        <v>0</v>
      </c>
      <c r="W1447" s="52"/>
      <c r="X1447" s="52">
        <v>2012</v>
      </c>
      <c r="Y1447" s="52">
        <v>11.14</v>
      </c>
    </row>
    <row r="1448" spans="2:25" s="55" customFormat="1" ht="51" outlineLevel="1">
      <c r="B1448" s="52" t="s">
        <v>2905</v>
      </c>
      <c r="C1448" s="78" t="s">
        <v>246</v>
      </c>
      <c r="D1448" s="57" t="s">
        <v>1693</v>
      </c>
      <c r="E1448" s="56" t="s">
        <v>1694</v>
      </c>
      <c r="F1448" s="56" t="s">
        <v>1694</v>
      </c>
      <c r="G1448" s="56"/>
      <c r="H1448" s="52" t="s">
        <v>243</v>
      </c>
      <c r="I1448" s="52">
        <v>50</v>
      </c>
      <c r="J1448" s="52">
        <v>430000000</v>
      </c>
      <c r="K1448" s="56" t="s">
        <v>122</v>
      </c>
      <c r="L1448" s="53" t="s">
        <v>1502</v>
      </c>
      <c r="M1448" s="56" t="s">
        <v>122</v>
      </c>
      <c r="N1448" s="52"/>
      <c r="O1448" s="53" t="s">
        <v>2385</v>
      </c>
      <c r="P1448" s="53" t="s">
        <v>1607</v>
      </c>
      <c r="Q1448" s="52"/>
      <c r="R1448" s="52"/>
      <c r="S1448" s="54"/>
      <c r="T1448" s="56"/>
      <c r="U1448" s="54">
        <f t="shared" si="90"/>
        <v>340500.00000000006</v>
      </c>
      <c r="V1448" s="54">
        <f>[3]СВОД_ОБЩИЙ_РФ!$H$9</f>
        <v>381360.00000000006</v>
      </c>
      <c r="W1448" s="52"/>
      <c r="X1448" s="52">
        <v>2012</v>
      </c>
      <c r="Y1448" s="52"/>
    </row>
    <row r="1449" spans="2:25" s="55" customFormat="1" ht="51" outlineLevel="1">
      <c r="B1449" s="52" t="s">
        <v>2075</v>
      </c>
      <c r="C1449" s="78" t="s">
        <v>246</v>
      </c>
      <c r="D1449" s="57" t="s">
        <v>1693</v>
      </c>
      <c r="E1449" s="56" t="s">
        <v>1694</v>
      </c>
      <c r="F1449" s="56" t="s">
        <v>1694</v>
      </c>
      <c r="G1449" s="56"/>
      <c r="H1449" s="52" t="s">
        <v>243</v>
      </c>
      <c r="I1449" s="52">
        <v>50</v>
      </c>
      <c r="J1449" s="52">
        <v>470000000</v>
      </c>
      <c r="K1449" s="56" t="s">
        <v>123</v>
      </c>
      <c r="L1449" s="53" t="s">
        <v>1502</v>
      </c>
      <c r="M1449" s="56" t="s">
        <v>123</v>
      </c>
      <c r="N1449" s="52"/>
      <c r="O1449" s="53" t="s">
        <v>2374</v>
      </c>
      <c r="P1449" s="53" t="s">
        <v>1607</v>
      </c>
      <c r="Q1449" s="52"/>
      <c r="R1449" s="52"/>
      <c r="S1449" s="54"/>
      <c r="T1449" s="56"/>
      <c r="U1449" s="54">
        <f t="shared" si="90"/>
        <v>0</v>
      </c>
      <c r="V1449" s="54">
        <v>0</v>
      </c>
      <c r="W1449" s="52"/>
      <c r="X1449" s="52">
        <v>2012</v>
      </c>
      <c r="Y1449" s="52">
        <v>11.14</v>
      </c>
    </row>
    <row r="1450" spans="2:25" s="55" customFormat="1" ht="51" outlineLevel="1">
      <c r="B1450" s="52" t="s">
        <v>2906</v>
      </c>
      <c r="C1450" s="78" t="s">
        <v>246</v>
      </c>
      <c r="D1450" s="57" t="s">
        <v>1693</v>
      </c>
      <c r="E1450" s="56" t="s">
        <v>1694</v>
      </c>
      <c r="F1450" s="56" t="s">
        <v>1694</v>
      </c>
      <c r="G1450" s="56"/>
      <c r="H1450" s="52" t="s">
        <v>243</v>
      </c>
      <c r="I1450" s="52">
        <v>50</v>
      </c>
      <c r="J1450" s="52">
        <v>470000000</v>
      </c>
      <c r="K1450" s="56" t="s">
        <v>123</v>
      </c>
      <c r="L1450" s="53" t="s">
        <v>1502</v>
      </c>
      <c r="M1450" s="56" t="s">
        <v>123</v>
      </c>
      <c r="N1450" s="52"/>
      <c r="O1450" s="53" t="s">
        <v>2385</v>
      </c>
      <c r="P1450" s="53" t="s">
        <v>1607</v>
      </c>
      <c r="Q1450" s="52"/>
      <c r="R1450" s="52"/>
      <c r="S1450" s="54"/>
      <c r="T1450" s="56"/>
      <c r="U1450" s="54">
        <f t="shared" si="90"/>
        <v>300000</v>
      </c>
      <c r="V1450" s="54">
        <f>[3]СВОД_ОБЩИЙ_РФ!$K$9</f>
        <v>336000</v>
      </c>
      <c r="W1450" s="52"/>
      <c r="X1450" s="52">
        <v>2012</v>
      </c>
      <c r="Y1450" s="52"/>
    </row>
    <row r="1451" spans="2:25" s="55" customFormat="1" ht="51" outlineLevel="1">
      <c r="B1451" s="52" t="s">
        <v>2076</v>
      </c>
      <c r="C1451" s="78" t="s">
        <v>246</v>
      </c>
      <c r="D1451" s="57" t="s">
        <v>1693</v>
      </c>
      <c r="E1451" s="56" t="s">
        <v>1694</v>
      </c>
      <c r="F1451" s="56" t="s">
        <v>1694</v>
      </c>
      <c r="G1451" s="56"/>
      <c r="H1451" s="52" t="s">
        <v>243</v>
      </c>
      <c r="I1451" s="52">
        <v>50</v>
      </c>
      <c r="J1451" s="52">
        <v>550000000</v>
      </c>
      <c r="K1451" s="56" t="s">
        <v>124</v>
      </c>
      <c r="L1451" s="53" t="s">
        <v>2174</v>
      </c>
      <c r="M1451" s="56" t="s">
        <v>124</v>
      </c>
      <c r="N1451" s="52"/>
      <c r="O1451" s="53" t="s">
        <v>2379</v>
      </c>
      <c r="P1451" s="53" t="s">
        <v>1607</v>
      </c>
      <c r="Q1451" s="52"/>
      <c r="R1451" s="52"/>
      <c r="S1451" s="54"/>
      <c r="T1451" s="56"/>
      <c r="U1451" s="54">
        <f t="shared" si="90"/>
        <v>0</v>
      </c>
      <c r="V1451" s="54">
        <v>0</v>
      </c>
      <c r="W1451" s="52"/>
      <c r="X1451" s="52">
        <v>2012</v>
      </c>
      <c r="Y1451" s="52">
        <v>11.14</v>
      </c>
    </row>
    <row r="1452" spans="2:25" s="55" customFormat="1" ht="51" outlineLevel="1">
      <c r="B1452" s="52" t="s">
        <v>2907</v>
      </c>
      <c r="C1452" s="78" t="s">
        <v>246</v>
      </c>
      <c r="D1452" s="57" t="s">
        <v>1693</v>
      </c>
      <c r="E1452" s="56" t="s">
        <v>1694</v>
      </c>
      <c r="F1452" s="56" t="s">
        <v>1694</v>
      </c>
      <c r="G1452" s="56"/>
      <c r="H1452" s="52" t="s">
        <v>243</v>
      </c>
      <c r="I1452" s="52">
        <v>50</v>
      </c>
      <c r="J1452" s="52">
        <v>550000000</v>
      </c>
      <c r="K1452" s="56" t="s">
        <v>124</v>
      </c>
      <c r="L1452" s="53" t="s">
        <v>1502</v>
      </c>
      <c r="M1452" s="56" t="s">
        <v>124</v>
      </c>
      <c r="N1452" s="52"/>
      <c r="O1452" s="53" t="s">
        <v>2385</v>
      </c>
      <c r="P1452" s="53" t="s">
        <v>1607</v>
      </c>
      <c r="Q1452" s="52"/>
      <c r="R1452" s="52"/>
      <c r="S1452" s="54"/>
      <c r="T1452" s="56"/>
      <c r="U1452" s="54">
        <f t="shared" si="90"/>
        <v>360000</v>
      </c>
      <c r="V1452" s="54">
        <f>[3]СВОД_ОБЩИЙ_РФ!$J$9</f>
        <v>403200</v>
      </c>
      <c r="W1452" s="52"/>
      <c r="X1452" s="52">
        <v>2012</v>
      </c>
      <c r="Y1452" s="52"/>
    </row>
    <row r="1453" spans="2:25" s="55" customFormat="1" ht="51" outlineLevel="1">
      <c r="B1453" s="52" t="s">
        <v>2077</v>
      </c>
      <c r="C1453" s="78" t="s">
        <v>246</v>
      </c>
      <c r="D1453" s="57" t="s">
        <v>1693</v>
      </c>
      <c r="E1453" s="56" t="s">
        <v>1694</v>
      </c>
      <c r="F1453" s="56" t="s">
        <v>1694</v>
      </c>
      <c r="G1453" s="56"/>
      <c r="H1453" s="52" t="s">
        <v>243</v>
      </c>
      <c r="I1453" s="52">
        <v>50</v>
      </c>
      <c r="J1453" s="52">
        <v>590000000</v>
      </c>
      <c r="K1453" s="56" t="s">
        <v>103</v>
      </c>
      <c r="L1453" s="53" t="s">
        <v>1502</v>
      </c>
      <c r="M1453" s="56" t="s">
        <v>103</v>
      </c>
      <c r="N1453" s="52"/>
      <c r="O1453" s="53" t="s">
        <v>2374</v>
      </c>
      <c r="P1453" s="53" t="s">
        <v>1607</v>
      </c>
      <c r="Q1453" s="52"/>
      <c r="R1453" s="52"/>
      <c r="S1453" s="54"/>
      <c r="T1453" s="56"/>
      <c r="U1453" s="54">
        <f t="shared" si="90"/>
        <v>0</v>
      </c>
      <c r="V1453" s="54">
        <v>0</v>
      </c>
      <c r="W1453" s="52"/>
      <c r="X1453" s="52">
        <v>2012</v>
      </c>
      <c r="Y1453" s="52">
        <v>11.14</v>
      </c>
    </row>
    <row r="1454" spans="2:25" s="55" customFormat="1" ht="51" outlineLevel="1">
      <c r="B1454" s="52" t="s">
        <v>2908</v>
      </c>
      <c r="C1454" s="78" t="s">
        <v>246</v>
      </c>
      <c r="D1454" s="57" t="s">
        <v>1693</v>
      </c>
      <c r="E1454" s="56" t="s">
        <v>1694</v>
      </c>
      <c r="F1454" s="56" t="s">
        <v>1694</v>
      </c>
      <c r="G1454" s="56"/>
      <c r="H1454" s="52" t="s">
        <v>243</v>
      </c>
      <c r="I1454" s="52">
        <v>50</v>
      </c>
      <c r="J1454" s="52">
        <v>590000000</v>
      </c>
      <c r="K1454" s="56" t="s">
        <v>103</v>
      </c>
      <c r="L1454" s="53" t="s">
        <v>1502</v>
      </c>
      <c r="M1454" s="56" t="s">
        <v>103</v>
      </c>
      <c r="N1454" s="52"/>
      <c r="O1454" s="53" t="s">
        <v>2385</v>
      </c>
      <c r="P1454" s="53" t="s">
        <v>1607</v>
      </c>
      <c r="Q1454" s="52"/>
      <c r="R1454" s="52"/>
      <c r="S1454" s="54"/>
      <c r="T1454" s="56"/>
      <c r="U1454" s="54">
        <f t="shared" si="90"/>
        <v>216250</v>
      </c>
      <c r="V1454" s="54">
        <f>[3]СВОД_ОБЩИЙ_РФ!$G$9</f>
        <v>242200</v>
      </c>
      <c r="W1454" s="52"/>
      <c r="X1454" s="52">
        <v>2012</v>
      </c>
      <c r="Y1454" s="52"/>
    </row>
    <row r="1455" spans="2:25" s="55" customFormat="1" ht="51">
      <c r="B1455" s="52" t="s">
        <v>2078</v>
      </c>
      <c r="C1455" s="78" t="s">
        <v>246</v>
      </c>
      <c r="D1455" s="57" t="s">
        <v>1693</v>
      </c>
      <c r="E1455" s="56" t="s">
        <v>1694</v>
      </c>
      <c r="F1455" s="56" t="s">
        <v>1694</v>
      </c>
      <c r="G1455" s="56"/>
      <c r="H1455" s="52" t="s">
        <v>243</v>
      </c>
      <c r="I1455" s="52">
        <v>50</v>
      </c>
      <c r="J1455" s="52">
        <v>510000000</v>
      </c>
      <c r="K1455" s="63" t="s">
        <v>104</v>
      </c>
      <c r="L1455" s="53" t="s">
        <v>2378</v>
      </c>
      <c r="M1455" s="63" t="s">
        <v>104</v>
      </c>
      <c r="N1455" s="52"/>
      <c r="O1455" s="53" t="s">
        <v>2298</v>
      </c>
      <c r="P1455" s="53" t="s">
        <v>1607</v>
      </c>
      <c r="Q1455" s="52"/>
      <c r="R1455" s="52"/>
      <c r="S1455" s="54"/>
      <c r="T1455" s="63"/>
      <c r="U1455" s="54">
        <f t="shared" si="90"/>
        <v>0</v>
      </c>
      <c r="V1455" s="54">
        <v>0</v>
      </c>
      <c r="W1455" s="52"/>
      <c r="X1455" s="52">
        <v>2012</v>
      </c>
      <c r="Y1455" s="53">
        <v>11.14</v>
      </c>
    </row>
    <row r="1456" spans="2:25" s="55" customFormat="1" ht="51">
      <c r="B1456" s="52" t="s">
        <v>2909</v>
      </c>
      <c r="C1456" s="78" t="s">
        <v>246</v>
      </c>
      <c r="D1456" s="57" t="s">
        <v>1693</v>
      </c>
      <c r="E1456" s="56" t="s">
        <v>1694</v>
      </c>
      <c r="F1456" s="56" t="s">
        <v>1694</v>
      </c>
      <c r="G1456" s="56"/>
      <c r="H1456" s="52" t="s">
        <v>243</v>
      </c>
      <c r="I1456" s="52">
        <v>50</v>
      </c>
      <c r="J1456" s="52">
        <v>510000000</v>
      </c>
      <c r="K1456" s="63" t="s">
        <v>104</v>
      </c>
      <c r="L1456" s="53" t="s">
        <v>1502</v>
      </c>
      <c r="M1456" s="63" t="s">
        <v>104</v>
      </c>
      <c r="N1456" s="52"/>
      <c r="O1456" s="53" t="s">
        <v>2385</v>
      </c>
      <c r="P1456" s="53" t="s">
        <v>1607</v>
      </c>
      <c r="Q1456" s="52"/>
      <c r="R1456" s="52"/>
      <c r="S1456" s="54"/>
      <c r="T1456" s="63"/>
      <c r="U1456" s="54">
        <f t="shared" si="90"/>
        <v>750819</v>
      </c>
      <c r="V1456" s="54">
        <f>[3]СВОД_ОБЩИЙ_РФ!$M$9</f>
        <v>840917.28</v>
      </c>
      <c r="W1456" s="52"/>
      <c r="X1456" s="52">
        <v>2012</v>
      </c>
      <c r="Y1456" s="140"/>
    </row>
    <row r="1457" spans="1:254" s="72" customFormat="1" ht="147" customHeight="1">
      <c r="A1457" s="55"/>
      <c r="B1457" s="52" t="s">
        <v>2079</v>
      </c>
      <c r="C1457" s="78" t="s">
        <v>246</v>
      </c>
      <c r="D1457" s="52" t="s">
        <v>1617</v>
      </c>
      <c r="E1457" s="56" t="s">
        <v>235</v>
      </c>
      <c r="F1457" s="53" t="s">
        <v>1628</v>
      </c>
      <c r="G1457" s="53"/>
      <c r="H1457" s="52" t="s">
        <v>242</v>
      </c>
      <c r="I1457" s="52">
        <v>75</v>
      </c>
      <c r="J1457" s="52">
        <v>751000000</v>
      </c>
      <c r="K1457" s="53" t="s">
        <v>2290</v>
      </c>
      <c r="L1457" s="52" t="s">
        <v>1503</v>
      </c>
      <c r="M1457" s="53" t="s">
        <v>2290</v>
      </c>
      <c r="N1457" s="52"/>
      <c r="O1457" s="53" t="s">
        <v>2377</v>
      </c>
      <c r="P1457" s="53" t="s">
        <v>1795</v>
      </c>
      <c r="Q1457" s="52"/>
      <c r="R1457" s="52"/>
      <c r="S1457" s="54"/>
      <c r="T1457" s="52"/>
      <c r="U1457" s="54">
        <f t="shared" ref="U1457:U1500" si="91">V1457/112*100</f>
        <v>14107142.857142858</v>
      </c>
      <c r="V1457" s="54">
        <f>'[1]CALL-CENTER-текущ. расходы'!$D$25+1400000</f>
        <v>15800000</v>
      </c>
      <c r="W1457" s="52"/>
      <c r="X1457" s="52">
        <v>2012</v>
      </c>
      <c r="Y1457" s="52"/>
      <c r="Z1457" s="55"/>
      <c r="AA1457" s="55"/>
      <c r="AB1457" s="55"/>
      <c r="AC1457" s="55"/>
      <c r="AD1457" s="55"/>
      <c r="AE1457" s="55"/>
      <c r="AF1457" s="55"/>
      <c r="AG1457" s="55"/>
      <c r="AH1457" s="55"/>
      <c r="AI1457" s="55"/>
      <c r="AJ1457" s="55"/>
      <c r="AK1457" s="55"/>
      <c r="AL1457" s="55"/>
      <c r="AM1457" s="55"/>
      <c r="AN1457" s="55"/>
      <c r="AO1457" s="55"/>
      <c r="AP1457" s="55"/>
      <c r="AQ1457" s="55"/>
      <c r="AR1457" s="55"/>
      <c r="AS1457" s="55"/>
      <c r="AT1457" s="55"/>
      <c r="AU1457" s="55"/>
      <c r="AV1457" s="55"/>
      <c r="AW1457" s="55"/>
      <c r="AX1457" s="55"/>
      <c r="AY1457" s="55"/>
      <c r="AZ1457" s="55"/>
      <c r="BA1457" s="55"/>
      <c r="BB1457" s="55"/>
      <c r="BC1457" s="55"/>
      <c r="BD1457" s="55"/>
      <c r="BE1457" s="55"/>
      <c r="BF1457" s="55"/>
      <c r="BG1457" s="55"/>
      <c r="BH1457" s="55"/>
      <c r="BI1457" s="55"/>
      <c r="BJ1457" s="55"/>
      <c r="BK1457" s="55"/>
      <c r="BL1457" s="55"/>
      <c r="BM1457" s="55"/>
      <c r="BN1457" s="55"/>
      <c r="BO1457" s="55"/>
      <c r="BP1457" s="55"/>
      <c r="BQ1457" s="55"/>
      <c r="BR1457" s="55"/>
      <c r="BS1457" s="55"/>
      <c r="BT1457" s="55"/>
      <c r="BU1457" s="55"/>
      <c r="BV1457" s="55"/>
      <c r="BW1457" s="55"/>
      <c r="BX1457" s="55"/>
      <c r="BY1457" s="55"/>
      <c r="BZ1457" s="55"/>
      <c r="CA1457" s="55"/>
      <c r="CB1457" s="55"/>
      <c r="CC1457" s="55"/>
      <c r="CD1457" s="55"/>
      <c r="CE1457" s="55"/>
      <c r="CF1457" s="55"/>
      <c r="CG1457" s="55"/>
      <c r="CH1457" s="55"/>
      <c r="CI1457" s="55"/>
      <c r="CJ1457" s="55"/>
      <c r="CK1457" s="55"/>
      <c r="CL1457" s="55"/>
      <c r="CM1457" s="55"/>
      <c r="CN1457" s="55"/>
      <c r="CO1457" s="55"/>
      <c r="CP1457" s="55"/>
      <c r="CQ1457" s="55"/>
      <c r="CR1457" s="55"/>
      <c r="CS1457" s="55"/>
      <c r="CT1457" s="55"/>
      <c r="CU1457" s="55"/>
      <c r="CV1457" s="55"/>
      <c r="CW1457" s="55"/>
      <c r="CX1457" s="55"/>
      <c r="CY1457" s="55"/>
      <c r="CZ1457" s="55"/>
      <c r="DA1457" s="55"/>
      <c r="DB1457" s="55"/>
      <c r="DC1457" s="55"/>
      <c r="DD1457" s="55"/>
      <c r="DE1457" s="55"/>
      <c r="DF1457" s="55"/>
      <c r="DG1457" s="55"/>
      <c r="DH1457" s="55"/>
      <c r="DI1457" s="55"/>
      <c r="DJ1457" s="55"/>
      <c r="DK1457" s="55"/>
      <c r="DL1457" s="55"/>
      <c r="DM1457" s="55"/>
      <c r="DN1457" s="55"/>
      <c r="DO1457" s="55"/>
      <c r="DP1457" s="55"/>
      <c r="DQ1457" s="55"/>
      <c r="DR1457" s="55"/>
      <c r="DS1457" s="55"/>
      <c r="DT1457" s="55"/>
      <c r="DU1457" s="55"/>
      <c r="DV1457" s="55"/>
      <c r="DW1457" s="55"/>
      <c r="DX1457" s="55"/>
      <c r="DY1457" s="55"/>
      <c r="DZ1457" s="55"/>
      <c r="EA1457" s="55"/>
      <c r="EB1457" s="55"/>
      <c r="EC1457" s="55"/>
      <c r="ED1457" s="55"/>
      <c r="EE1457" s="55"/>
      <c r="EF1457" s="55"/>
      <c r="EG1457" s="55"/>
      <c r="EH1457" s="55"/>
      <c r="EI1457" s="55"/>
      <c r="EJ1457" s="55"/>
      <c r="EK1457" s="55"/>
      <c r="EL1457" s="55"/>
      <c r="EM1457" s="55"/>
      <c r="EN1457" s="55"/>
      <c r="EO1457" s="55"/>
      <c r="EP1457" s="55"/>
      <c r="EQ1457" s="55"/>
      <c r="ER1457" s="55"/>
      <c r="ES1457" s="55"/>
      <c r="ET1457" s="55"/>
      <c r="EU1457" s="55"/>
      <c r="EV1457" s="55"/>
      <c r="EW1457" s="55"/>
      <c r="EX1457" s="55"/>
      <c r="EY1457" s="55"/>
      <c r="EZ1457" s="55"/>
      <c r="FA1457" s="55"/>
      <c r="FB1457" s="55"/>
      <c r="FC1457" s="55"/>
      <c r="FD1457" s="55"/>
      <c r="FE1457" s="55"/>
      <c r="FF1457" s="55"/>
      <c r="FG1457" s="55"/>
      <c r="FH1457" s="55"/>
      <c r="FI1457" s="55"/>
      <c r="FJ1457" s="55"/>
      <c r="FK1457" s="55"/>
      <c r="FL1457" s="55"/>
      <c r="FM1457" s="55"/>
      <c r="FN1457" s="55"/>
      <c r="FO1457" s="55"/>
      <c r="FP1457" s="55"/>
      <c r="FQ1457" s="55"/>
      <c r="FR1457" s="55"/>
      <c r="FS1457" s="55"/>
      <c r="FT1457" s="55"/>
      <c r="FU1457" s="55"/>
      <c r="FV1457" s="55"/>
      <c r="FW1457" s="55"/>
      <c r="FX1457" s="55"/>
      <c r="FY1457" s="55"/>
      <c r="FZ1457" s="55"/>
      <c r="GA1457" s="55"/>
      <c r="GB1457" s="55"/>
      <c r="GC1457" s="55"/>
      <c r="GD1457" s="55"/>
      <c r="GE1457" s="55"/>
      <c r="GF1457" s="55"/>
      <c r="GG1457" s="55"/>
      <c r="GH1457" s="55"/>
      <c r="GI1457" s="55"/>
      <c r="GJ1457" s="55"/>
      <c r="GK1457" s="55"/>
      <c r="GL1457" s="55"/>
      <c r="GM1457" s="55"/>
      <c r="GN1457" s="55"/>
      <c r="GO1457" s="55"/>
      <c r="GP1457" s="55"/>
      <c r="GQ1457" s="55"/>
      <c r="GR1457" s="55"/>
      <c r="GS1457" s="55"/>
      <c r="GT1457" s="55"/>
      <c r="GU1457" s="55"/>
      <c r="GV1457" s="55"/>
      <c r="GW1457" s="55"/>
      <c r="GX1457" s="55"/>
      <c r="GY1457" s="55"/>
      <c r="GZ1457" s="55"/>
      <c r="HA1457" s="55"/>
      <c r="HB1457" s="55"/>
      <c r="HC1457" s="55"/>
      <c r="HD1457" s="55"/>
      <c r="HE1457" s="55"/>
      <c r="HF1457" s="55"/>
      <c r="HG1457" s="55"/>
      <c r="HH1457" s="55"/>
      <c r="HI1457" s="55"/>
      <c r="HJ1457" s="55"/>
      <c r="HK1457" s="55"/>
      <c r="HL1457" s="55"/>
      <c r="HM1457" s="55"/>
      <c r="HN1457" s="55"/>
      <c r="HO1457" s="55"/>
      <c r="HP1457" s="55"/>
      <c r="HQ1457" s="55"/>
      <c r="HR1457" s="55"/>
      <c r="HS1457" s="55"/>
      <c r="HT1457" s="55"/>
      <c r="HU1457" s="55"/>
      <c r="HV1457" s="55"/>
      <c r="HW1457" s="55"/>
      <c r="HX1457" s="55"/>
      <c r="HY1457" s="55"/>
      <c r="HZ1457" s="55"/>
      <c r="IA1457" s="55"/>
      <c r="IB1457" s="55"/>
      <c r="IC1457" s="55"/>
      <c r="ID1457" s="55"/>
      <c r="IE1457" s="55"/>
      <c r="IF1457" s="55"/>
      <c r="IG1457" s="55"/>
      <c r="IH1457" s="55"/>
      <c r="II1457" s="55"/>
      <c r="IJ1457" s="55"/>
      <c r="IK1457" s="55"/>
      <c r="IL1457" s="55"/>
      <c r="IM1457" s="55"/>
      <c r="IN1457" s="55"/>
      <c r="IO1457" s="55"/>
      <c r="IP1457" s="55"/>
      <c r="IQ1457" s="55"/>
      <c r="IR1457" s="55"/>
      <c r="IS1457" s="55"/>
      <c r="IT1457" s="55"/>
    </row>
    <row r="1458" spans="1:254" s="55" customFormat="1" ht="127.5">
      <c r="B1458" s="52" t="s">
        <v>2080</v>
      </c>
      <c r="C1458" s="78" t="s">
        <v>246</v>
      </c>
      <c r="D1458" s="52" t="s">
        <v>338</v>
      </c>
      <c r="E1458" s="56" t="s">
        <v>1724</v>
      </c>
      <c r="F1458" s="53" t="s">
        <v>1725</v>
      </c>
      <c r="G1458" s="53"/>
      <c r="H1458" s="56" t="s">
        <v>243</v>
      </c>
      <c r="I1458" s="52">
        <v>90</v>
      </c>
      <c r="J1458" s="52">
        <v>751000000</v>
      </c>
      <c r="K1458" s="53" t="s">
        <v>2290</v>
      </c>
      <c r="L1458" s="52" t="s">
        <v>1557</v>
      </c>
      <c r="M1458" s="53" t="s">
        <v>2290</v>
      </c>
      <c r="N1458" s="52"/>
      <c r="O1458" s="52" t="s">
        <v>1759</v>
      </c>
      <c r="P1458" s="53" t="s">
        <v>1726</v>
      </c>
      <c r="Q1458" s="52"/>
      <c r="R1458" s="52"/>
      <c r="S1458" s="54"/>
      <c r="T1458" s="52"/>
      <c r="U1458" s="54">
        <f t="shared" si="91"/>
        <v>0</v>
      </c>
      <c r="V1458" s="54">
        <v>0</v>
      </c>
      <c r="W1458" s="52"/>
      <c r="X1458" s="52">
        <v>2012</v>
      </c>
      <c r="Y1458" s="52" t="s">
        <v>2590</v>
      </c>
    </row>
    <row r="1459" spans="1:254" s="55" customFormat="1" ht="127.5">
      <c r="B1459" s="52" t="s">
        <v>2591</v>
      </c>
      <c r="C1459" s="78" t="s">
        <v>246</v>
      </c>
      <c r="D1459" s="52" t="s">
        <v>338</v>
      </c>
      <c r="E1459" s="56" t="s">
        <v>1724</v>
      </c>
      <c r="F1459" s="53" t="s">
        <v>2592</v>
      </c>
      <c r="G1459" s="53"/>
      <c r="H1459" s="56" t="s">
        <v>243</v>
      </c>
      <c r="I1459" s="52">
        <v>90</v>
      </c>
      <c r="J1459" s="52">
        <v>751000000</v>
      </c>
      <c r="K1459" s="53" t="s">
        <v>2290</v>
      </c>
      <c r="L1459" s="52" t="s">
        <v>1471</v>
      </c>
      <c r="M1459" s="53" t="s">
        <v>2290</v>
      </c>
      <c r="N1459" s="52"/>
      <c r="O1459" s="52" t="s">
        <v>2530</v>
      </c>
      <c r="P1459" s="53" t="s">
        <v>1726</v>
      </c>
      <c r="Q1459" s="52"/>
      <c r="R1459" s="52"/>
      <c r="S1459" s="54"/>
      <c r="T1459" s="52"/>
      <c r="U1459" s="54">
        <f t="shared" si="91"/>
        <v>238839.28571428574</v>
      </c>
      <c r="V1459" s="54">
        <f>'[1]бизнес советник'!$B$35</f>
        <v>267500</v>
      </c>
      <c r="W1459" s="52"/>
      <c r="X1459" s="52">
        <v>2012</v>
      </c>
      <c r="Y1459" s="52"/>
    </row>
    <row r="1460" spans="1:254" s="55" customFormat="1" ht="132.75" customHeight="1">
      <c r="B1460" s="52" t="s">
        <v>2081</v>
      </c>
      <c r="C1460" s="78" t="s">
        <v>246</v>
      </c>
      <c r="D1460" s="59" t="s">
        <v>316</v>
      </c>
      <c r="E1460" s="56" t="s">
        <v>1727</v>
      </c>
      <c r="F1460" s="56" t="s">
        <v>1729</v>
      </c>
      <c r="G1460" s="56"/>
      <c r="H1460" s="56" t="s">
        <v>242</v>
      </c>
      <c r="I1460" s="82">
        <v>50</v>
      </c>
      <c r="J1460" s="52">
        <v>751000000</v>
      </c>
      <c r="K1460" s="53" t="s">
        <v>2290</v>
      </c>
      <c r="L1460" s="53" t="s">
        <v>2375</v>
      </c>
      <c r="M1460" s="53" t="s">
        <v>2290</v>
      </c>
      <c r="N1460" s="52"/>
      <c r="O1460" s="53" t="s">
        <v>2376</v>
      </c>
      <c r="P1460" s="53" t="s">
        <v>1475</v>
      </c>
      <c r="Q1460" s="52"/>
      <c r="R1460" s="52"/>
      <c r="S1460" s="54">
        <v>1</v>
      </c>
      <c r="T1460" s="52"/>
      <c r="U1460" s="54">
        <f t="shared" si="91"/>
        <v>0</v>
      </c>
      <c r="V1460" s="54">
        <f>37573563-37573563</f>
        <v>0</v>
      </c>
      <c r="W1460" s="52"/>
      <c r="X1460" s="52">
        <v>2012</v>
      </c>
      <c r="Y1460" s="52"/>
    </row>
    <row r="1461" spans="1:254" s="55" customFormat="1" ht="102">
      <c r="B1461" s="52" t="s">
        <v>2082</v>
      </c>
      <c r="C1461" s="78" t="s">
        <v>246</v>
      </c>
      <c r="D1461" s="52" t="s">
        <v>1731</v>
      </c>
      <c r="E1461" s="56" t="s">
        <v>1728</v>
      </c>
      <c r="F1461" s="56" t="s">
        <v>1730</v>
      </c>
      <c r="G1461" s="56"/>
      <c r="H1461" s="56" t="s">
        <v>243</v>
      </c>
      <c r="I1461" s="82">
        <v>50</v>
      </c>
      <c r="J1461" s="52">
        <v>110000000</v>
      </c>
      <c r="K1461" s="56" t="s">
        <v>125</v>
      </c>
      <c r="L1461" s="52" t="s">
        <v>1471</v>
      </c>
      <c r="M1461" s="56" t="s">
        <v>125</v>
      </c>
      <c r="N1461" s="52"/>
      <c r="O1461" s="53" t="s">
        <v>1471</v>
      </c>
      <c r="P1461" s="53" t="s">
        <v>1585</v>
      </c>
      <c r="Q1461" s="52"/>
      <c r="R1461" s="52"/>
      <c r="S1461" s="54">
        <v>2</v>
      </c>
      <c r="T1461" s="52"/>
      <c r="U1461" s="54">
        <f t="shared" si="91"/>
        <v>0</v>
      </c>
      <c r="V1461" s="54">
        <v>0</v>
      </c>
      <c r="W1461" s="52"/>
      <c r="X1461" s="52">
        <v>2012</v>
      </c>
      <c r="Y1461" s="52"/>
    </row>
    <row r="1462" spans="1:254" s="55" customFormat="1" ht="102">
      <c r="B1462" s="52" t="s">
        <v>2083</v>
      </c>
      <c r="C1462" s="78" t="s">
        <v>246</v>
      </c>
      <c r="D1462" s="52" t="s">
        <v>1830</v>
      </c>
      <c r="E1462" s="56" t="s">
        <v>1728</v>
      </c>
      <c r="F1462" s="56" t="s">
        <v>1730</v>
      </c>
      <c r="G1462" s="56"/>
      <c r="H1462" s="56" t="s">
        <v>243</v>
      </c>
      <c r="I1462" s="82">
        <v>50</v>
      </c>
      <c r="J1462" s="52">
        <v>150000000</v>
      </c>
      <c r="K1462" s="56" t="s">
        <v>126</v>
      </c>
      <c r="L1462" s="52" t="s">
        <v>343</v>
      </c>
      <c r="M1462" s="56" t="s">
        <v>126</v>
      </c>
      <c r="N1462" s="52"/>
      <c r="O1462" s="53" t="s">
        <v>2305</v>
      </c>
      <c r="P1462" s="53" t="s">
        <v>1585</v>
      </c>
      <c r="Q1462" s="52"/>
      <c r="R1462" s="52"/>
      <c r="S1462" s="54">
        <v>2</v>
      </c>
      <c r="T1462" s="52"/>
      <c r="U1462" s="54">
        <f t="shared" si="91"/>
        <v>0</v>
      </c>
      <c r="V1462" s="54">
        <v>0</v>
      </c>
      <c r="W1462" s="52"/>
      <c r="X1462" s="52">
        <v>2012</v>
      </c>
      <c r="Y1462" s="52"/>
    </row>
    <row r="1463" spans="1:254" s="55" customFormat="1" ht="102">
      <c r="B1463" s="52" t="s">
        <v>2084</v>
      </c>
      <c r="C1463" s="78" t="s">
        <v>246</v>
      </c>
      <c r="D1463" s="52" t="s">
        <v>1731</v>
      </c>
      <c r="E1463" s="56" t="s">
        <v>1728</v>
      </c>
      <c r="F1463" s="56" t="s">
        <v>1730</v>
      </c>
      <c r="G1463" s="56"/>
      <c r="H1463" s="56" t="s">
        <v>243</v>
      </c>
      <c r="I1463" s="82">
        <v>50</v>
      </c>
      <c r="J1463" s="52">
        <v>190000000</v>
      </c>
      <c r="K1463" s="56" t="s">
        <v>117</v>
      </c>
      <c r="L1463" s="52" t="s">
        <v>1471</v>
      </c>
      <c r="M1463" s="56" t="s">
        <v>117</v>
      </c>
      <c r="N1463" s="52"/>
      <c r="O1463" s="53" t="s">
        <v>2134</v>
      </c>
      <c r="P1463" s="53" t="s">
        <v>1585</v>
      </c>
      <c r="Q1463" s="52"/>
      <c r="R1463" s="52"/>
      <c r="S1463" s="54">
        <v>2</v>
      </c>
      <c r="T1463" s="52"/>
      <c r="U1463" s="54">
        <f t="shared" si="91"/>
        <v>0</v>
      </c>
      <c r="V1463" s="54">
        <v>0</v>
      </c>
      <c r="W1463" s="52"/>
      <c r="X1463" s="52">
        <v>2012</v>
      </c>
      <c r="Y1463" s="52"/>
    </row>
    <row r="1464" spans="1:254" s="55" customFormat="1" ht="102">
      <c r="B1464" s="52" t="s">
        <v>2085</v>
      </c>
      <c r="C1464" s="78" t="s">
        <v>246</v>
      </c>
      <c r="D1464" s="52" t="s">
        <v>1731</v>
      </c>
      <c r="E1464" s="56" t="s">
        <v>1728</v>
      </c>
      <c r="F1464" s="56" t="s">
        <v>1730</v>
      </c>
      <c r="G1464" s="56"/>
      <c r="H1464" s="56" t="s">
        <v>243</v>
      </c>
      <c r="I1464" s="82">
        <v>50</v>
      </c>
      <c r="J1464" s="52">
        <v>711000000</v>
      </c>
      <c r="K1464" s="56" t="s">
        <v>151</v>
      </c>
      <c r="L1464" s="81" t="s">
        <v>2374</v>
      </c>
      <c r="M1464" s="53" t="s">
        <v>1816</v>
      </c>
      <c r="N1464" s="52"/>
      <c r="O1464" s="81" t="s">
        <v>2374</v>
      </c>
      <c r="P1464" s="53" t="s">
        <v>1585</v>
      </c>
      <c r="Q1464" s="52"/>
      <c r="R1464" s="52"/>
      <c r="S1464" s="54">
        <v>2</v>
      </c>
      <c r="T1464" s="52"/>
      <c r="U1464" s="54">
        <f t="shared" si="91"/>
        <v>0</v>
      </c>
      <c r="V1464" s="54">
        <v>0</v>
      </c>
      <c r="W1464" s="52"/>
      <c r="X1464" s="52">
        <v>2012</v>
      </c>
      <c r="Y1464" s="52"/>
    </row>
    <row r="1465" spans="1:254" s="55" customFormat="1" ht="102">
      <c r="B1465" s="52" t="s">
        <v>2086</v>
      </c>
      <c r="C1465" s="78" t="s">
        <v>246</v>
      </c>
      <c r="D1465" s="52" t="s">
        <v>1731</v>
      </c>
      <c r="E1465" s="56" t="s">
        <v>1728</v>
      </c>
      <c r="F1465" s="56" t="s">
        <v>1730</v>
      </c>
      <c r="G1465" s="56"/>
      <c r="H1465" s="56" t="s">
        <v>243</v>
      </c>
      <c r="I1465" s="82">
        <v>50</v>
      </c>
      <c r="J1465" s="52">
        <v>751000000</v>
      </c>
      <c r="K1465" s="63" t="s">
        <v>1437</v>
      </c>
      <c r="L1465" s="52" t="s">
        <v>1548</v>
      </c>
      <c r="M1465" s="63" t="s">
        <v>1437</v>
      </c>
      <c r="N1465" s="52"/>
      <c r="O1465" s="53" t="s">
        <v>2373</v>
      </c>
      <c r="P1465" s="53" t="s">
        <v>1585</v>
      </c>
      <c r="Q1465" s="52"/>
      <c r="R1465" s="52"/>
      <c r="S1465" s="54">
        <v>2</v>
      </c>
      <c r="T1465" s="52"/>
      <c r="U1465" s="54">
        <f t="shared" si="91"/>
        <v>0</v>
      </c>
      <c r="V1465" s="54">
        <v>0</v>
      </c>
      <c r="W1465" s="52"/>
      <c r="X1465" s="52">
        <v>2012</v>
      </c>
      <c r="Y1465" s="52"/>
    </row>
    <row r="1466" spans="1:254" s="55" customFormat="1" ht="102">
      <c r="B1466" s="52" t="s">
        <v>2087</v>
      </c>
      <c r="C1466" s="78" t="s">
        <v>246</v>
      </c>
      <c r="D1466" s="52" t="s">
        <v>1731</v>
      </c>
      <c r="E1466" s="56" t="s">
        <v>1728</v>
      </c>
      <c r="F1466" s="56" t="s">
        <v>1730</v>
      </c>
      <c r="G1466" s="56"/>
      <c r="H1466" s="56" t="s">
        <v>243</v>
      </c>
      <c r="I1466" s="82">
        <v>50</v>
      </c>
      <c r="J1466" s="52">
        <v>230000000</v>
      </c>
      <c r="K1466" s="56" t="s">
        <v>118</v>
      </c>
      <c r="L1466" s="52" t="s">
        <v>1502</v>
      </c>
      <c r="M1466" s="56" t="s">
        <v>118</v>
      </c>
      <c r="N1466" s="52"/>
      <c r="O1466" s="52" t="s">
        <v>2137</v>
      </c>
      <c r="P1466" s="53" t="s">
        <v>1585</v>
      </c>
      <c r="Q1466" s="52"/>
      <c r="R1466" s="52"/>
      <c r="S1466" s="54">
        <v>1</v>
      </c>
      <c r="T1466" s="52"/>
      <c r="U1466" s="54">
        <f t="shared" si="91"/>
        <v>0</v>
      </c>
      <c r="V1466" s="54">
        <v>0</v>
      </c>
      <c r="W1466" s="52"/>
      <c r="X1466" s="52">
        <v>2012</v>
      </c>
      <c r="Y1466" s="52"/>
    </row>
    <row r="1467" spans="1:254" s="55" customFormat="1" ht="102">
      <c r="B1467" s="52" t="s">
        <v>2088</v>
      </c>
      <c r="C1467" s="78" t="s">
        <v>246</v>
      </c>
      <c r="D1467" s="52" t="s">
        <v>1731</v>
      </c>
      <c r="E1467" s="56" t="s">
        <v>1728</v>
      </c>
      <c r="F1467" s="56" t="s">
        <v>1730</v>
      </c>
      <c r="G1467" s="56"/>
      <c r="H1467" s="56" t="s">
        <v>243</v>
      </c>
      <c r="I1467" s="82">
        <v>50</v>
      </c>
      <c r="J1467" s="52">
        <v>630000000</v>
      </c>
      <c r="K1467" s="56" t="s">
        <v>97</v>
      </c>
      <c r="L1467" s="53" t="s">
        <v>1799</v>
      </c>
      <c r="M1467" s="56" t="s">
        <v>97</v>
      </c>
      <c r="N1467" s="52"/>
      <c r="O1467" s="53" t="s">
        <v>2372</v>
      </c>
      <c r="P1467" s="53" t="s">
        <v>1585</v>
      </c>
      <c r="Q1467" s="52"/>
      <c r="R1467" s="52"/>
      <c r="S1467" s="54">
        <v>2</v>
      </c>
      <c r="T1467" s="52"/>
      <c r="U1467" s="54">
        <f t="shared" si="91"/>
        <v>0</v>
      </c>
      <c r="V1467" s="54">
        <v>0</v>
      </c>
      <c r="W1467" s="52"/>
      <c r="X1467" s="52">
        <v>2012</v>
      </c>
      <c r="Y1467" s="52"/>
    </row>
    <row r="1468" spans="1:254" s="55" customFormat="1" ht="102">
      <c r="B1468" s="52" t="s">
        <v>2089</v>
      </c>
      <c r="C1468" s="78" t="s">
        <v>246</v>
      </c>
      <c r="D1468" s="52" t="s">
        <v>1731</v>
      </c>
      <c r="E1468" s="56" t="s">
        <v>1728</v>
      </c>
      <c r="F1468" s="56" t="s">
        <v>1730</v>
      </c>
      <c r="G1468" s="56"/>
      <c r="H1468" s="56" t="s">
        <v>243</v>
      </c>
      <c r="I1468" s="82">
        <v>50</v>
      </c>
      <c r="J1468" s="52">
        <v>310000000</v>
      </c>
      <c r="K1468" s="56" t="s">
        <v>119</v>
      </c>
      <c r="L1468" s="53" t="s">
        <v>1801</v>
      </c>
      <c r="M1468" s="56" t="s">
        <v>119</v>
      </c>
      <c r="N1468" s="52"/>
      <c r="O1468" s="53" t="s">
        <v>2371</v>
      </c>
      <c r="P1468" s="53" t="s">
        <v>1585</v>
      </c>
      <c r="Q1468" s="52"/>
      <c r="R1468" s="52"/>
      <c r="S1468" s="54">
        <v>1</v>
      </c>
      <c r="T1468" s="52"/>
      <c r="U1468" s="54">
        <f t="shared" si="91"/>
        <v>0</v>
      </c>
      <c r="V1468" s="54">
        <v>0</v>
      </c>
      <c r="W1468" s="52"/>
      <c r="X1468" s="52">
        <v>2012</v>
      </c>
      <c r="Y1468" s="52"/>
    </row>
    <row r="1469" spans="1:254" s="55" customFormat="1" ht="102">
      <c r="B1469" s="52" t="s">
        <v>2090</v>
      </c>
      <c r="C1469" s="78" t="s">
        <v>246</v>
      </c>
      <c r="D1469" s="52" t="s">
        <v>1731</v>
      </c>
      <c r="E1469" s="56" t="s">
        <v>1728</v>
      </c>
      <c r="F1469" s="56" t="s">
        <v>1730</v>
      </c>
      <c r="G1469" s="56"/>
      <c r="H1469" s="56" t="s">
        <v>243</v>
      </c>
      <c r="I1469" s="82">
        <v>50</v>
      </c>
      <c r="J1469" s="52">
        <v>270000000</v>
      </c>
      <c r="K1469" s="56" t="s">
        <v>98</v>
      </c>
      <c r="L1469" s="53" t="s">
        <v>1558</v>
      </c>
      <c r="M1469" s="56" t="s">
        <v>98</v>
      </c>
      <c r="N1469" s="52"/>
      <c r="O1469" s="53" t="s">
        <v>2370</v>
      </c>
      <c r="P1469" s="53" t="s">
        <v>1585</v>
      </c>
      <c r="Q1469" s="52"/>
      <c r="R1469" s="52"/>
      <c r="S1469" s="54">
        <v>2</v>
      </c>
      <c r="T1469" s="52"/>
      <c r="U1469" s="54">
        <f t="shared" si="91"/>
        <v>0</v>
      </c>
      <c r="V1469" s="54">
        <v>0</v>
      </c>
      <c r="W1469" s="52"/>
      <c r="X1469" s="52">
        <v>2012</v>
      </c>
      <c r="Y1469" s="52"/>
    </row>
    <row r="1470" spans="1:254" s="55" customFormat="1" ht="102">
      <c r="B1470" s="52" t="s">
        <v>2091</v>
      </c>
      <c r="C1470" s="78" t="s">
        <v>246</v>
      </c>
      <c r="D1470" s="52" t="s">
        <v>1731</v>
      </c>
      <c r="E1470" s="56" t="s">
        <v>1728</v>
      </c>
      <c r="F1470" s="56" t="s">
        <v>1730</v>
      </c>
      <c r="G1470" s="56"/>
      <c r="H1470" s="56" t="s">
        <v>243</v>
      </c>
      <c r="I1470" s="82">
        <v>50</v>
      </c>
      <c r="J1470" s="52">
        <v>350000000</v>
      </c>
      <c r="K1470" s="56" t="s">
        <v>120</v>
      </c>
      <c r="L1470" s="52" t="s">
        <v>1503</v>
      </c>
      <c r="M1470" s="56" t="s">
        <v>120</v>
      </c>
      <c r="N1470" s="52" t="s">
        <v>1754</v>
      </c>
      <c r="O1470" s="52" t="s">
        <v>1503</v>
      </c>
      <c r="P1470" s="53" t="s">
        <v>1585</v>
      </c>
      <c r="Q1470" s="52"/>
      <c r="R1470" s="52"/>
      <c r="S1470" s="54">
        <v>615</v>
      </c>
      <c r="T1470" s="52"/>
      <c r="U1470" s="54">
        <f t="shared" si="91"/>
        <v>0</v>
      </c>
      <c r="V1470" s="54">
        <v>0</v>
      </c>
      <c r="W1470" s="52"/>
      <c r="X1470" s="52">
        <v>2012</v>
      </c>
      <c r="Y1470" s="52"/>
    </row>
    <row r="1471" spans="1:254" s="55" customFormat="1" ht="102">
      <c r="B1471" s="52" t="s">
        <v>2092</v>
      </c>
      <c r="C1471" s="78" t="s">
        <v>246</v>
      </c>
      <c r="D1471" s="52" t="s">
        <v>1731</v>
      </c>
      <c r="E1471" s="56" t="s">
        <v>1728</v>
      </c>
      <c r="F1471" s="56" t="s">
        <v>1730</v>
      </c>
      <c r="G1471" s="56"/>
      <c r="H1471" s="56" t="s">
        <v>243</v>
      </c>
      <c r="I1471" s="82">
        <v>50</v>
      </c>
      <c r="J1471" s="52">
        <v>390000000</v>
      </c>
      <c r="K1471" s="56" t="s">
        <v>121</v>
      </c>
      <c r="L1471" s="53" t="s">
        <v>2369</v>
      </c>
      <c r="M1471" s="56" t="s">
        <v>121</v>
      </c>
      <c r="N1471" s="52"/>
      <c r="O1471" s="53" t="s">
        <v>2369</v>
      </c>
      <c r="P1471" s="53" t="s">
        <v>1585</v>
      </c>
      <c r="Q1471" s="52"/>
      <c r="R1471" s="52"/>
      <c r="S1471" s="54">
        <v>2</v>
      </c>
      <c r="T1471" s="52"/>
      <c r="U1471" s="54">
        <f t="shared" si="91"/>
        <v>0</v>
      </c>
      <c r="V1471" s="54">
        <v>0</v>
      </c>
      <c r="W1471" s="52"/>
      <c r="X1471" s="52">
        <v>2012</v>
      </c>
      <c r="Y1471" s="52"/>
    </row>
    <row r="1472" spans="1:254" s="55" customFormat="1" ht="102">
      <c r="B1472" s="52" t="s">
        <v>2093</v>
      </c>
      <c r="C1472" s="78" t="s">
        <v>246</v>
      </c>
      <c r="D1472" s="52" t="s">
        <v>1731</v>
      </c>
      <c r="E1472" s="56" t="s">
        <v>1728</v>
      </c>
      <c r="F1472" s="56" t="s">
        <v>1730</v>
      </c>
      <c r="G1472" s="56"/>
      <c r="H1472" s="56" t="s">
        <v>243</v>
      </c>
      <c r="I1472" s="82">
        <v>50</v>
      </c>
      <c r="J1472" s="52">
        <v>430000000</v>
      </c>
      <c r="K1472" s="56" t="s">
        <v>122</v>
      </c>
      <c r="L1472" s="52" t="s">
        <v>1558</v>
      </c>
      <c r="M1472" s="56" t="s">
        <v>122</v>
      </c>
      <c r="N1472" s="52"/>
      <c r="O1472" s="53" t="s">
        <v>2368</v>
      </c>
      <c r="P1472" s="53" t="s">
        <v>1585</v>
      </c>
      <c r="Q1472" s="52"/>
      <c r="R1472" s="52"/>
      <c r="S1472" s="54">
        <v>2</v>
      </c>
      <c r="T1472" s="52"/>
      <c r="U1472" s="54">
        <f t="shared" si="91"/>
        <v>0</v>
      </c>
      <c r="V1472" s="54">
        <v>0</v>
      </c>
      <c r="W1472" s="52"/>
      <c r="X1472" s="52">
        <v>2012</v>
      </c>
      <c r="Y1472" s="52"/>
    </row>
    <row r="1473" spans="2:25" s="55" customFormat="1" ht="102">
      <c r="B1473" s="52" t="s">
        <v>2094</v>
      </c>
      <c r="C1473" s="78" t="s">
        <v>246</v>
      </c>
      <c r="D1473" s="52" t="s">
        <v>1731</v>
      </c>
      <c r="E1473" s="56" t="s">
        <v>1728</v>
      </c>
      <c r="F1473" s="56" t="s">
        <v>1730</v>
      </c>
      <c r="G1473" s="56"/>
      <c r="H1473" s="56" t="s">
        <v>243</v>
      </c>
      <c r="I1473" s="82">
        <v>50</v>
      </c>
      <c r="J1473" s="52">
        <v>470000000</v>
      </c>
      <c r="K1473" s="56" t="s">
        <v>123</v>
      </c>
      <c r="L1473" s="52" t="s">
        <v>1558</v>
      </c>
      <c r="M1473" s="56" t="s">
        <v>123</v>
      </c>
      <c r="N1473" s="52"/>
      <c r="O1473" s="53" t="s">
        <v>2368</v>
      </c>
      <c r="P1473" s="53" t="s">
        <v>1585</v>
      </c>
      <c r="Q1473" s="52"/>
      <c r="R1473" s="52"/>
      <c r="S1473" s="54">
        <v>2</v>
      </c>
      <c r="T1473" s="52"/>
      <c r="U1473" s="54">
        <f t="shared" si="91"/>
        <v>0</v>
      </c>
      <c r="V1473" s="54">
        <v>0</v>
      </c>
      <c r="W1473" s="52"/>
      <c r="X1473" s="52">
        <v>2012</v>
      </c>
      <c r="Y1473" s="52"/>
    </row>
    <row r="1474" spans="2:25" s="55" customFormat="1" ht="102">
      <c r="B1474" s="52" t="s">
        <v>2095</v>
      </c>
      <c r="C1474" s="78" t="s">
        <v>246</v>
      </c>
      <c r="D1474" s="52" t="s">
        <v>1731</v>
      </c>
      <c r="E1474" s="56" t="s">
        <v>1728</v>
      </c>
      <c r="F1474" s="56" t="s">
        <v>1730</v>
      </c>
      <c r="G1474" s="56"/>
      <c r="H1474" s="56" t="s">
        <v>243</v>
      </c>
      <c r="I1474" s="82">
        <v>50</v>
      </c>
      <c r="J1474" s="52">
        <v>550000000</v>
      </c>
      <c r="K1474" s="56" t="s">
        <v>124</v>
      </c>
      <c r="L1474" s="53" t="s">
        <v>2175</v>
      </c>
      <c r="M1474" s="56" t="s">
        <v>124</v>
      </c>
      <c r="N1474" s="52"/>
      <c r="O1474" s="53" t="s">
        <v>2175</v>
      </c>
      <c r="P1474" s="53" t="s">
        <v>1585</v>
      </c>
      <c r="Q1474" s="52"/>
      <c r="R1474" s="52"/>
      <c r="S1474" s="54">
        <v>2</v>
      </c>
      <c r="T1474" s="52"/>
      <c r="U1474" s="54">
        <f t="shared" si="91"/>
        <v>0</v>
      </c>
      <c r="V1474" s="54">
        <v>0</v>
      </c>
      <c r="W1474" s="52"/>
      <c r="X1474" s="52">
        <v>2012</v>
      </c>
      <c r="Y1474" s="52"/>
    </row>
    <row r="1475" spans="2:25" s="55" customFormat="1" ht="102">
      <c r="B1475" s="52" t="s">
        <v>2096</v>
      </c>
      <c r="C1475" s="78" t="s">
        <v>246</v>
      </c>
      <c r="D1475" s="52" t="s">
        <v>1731</v>
      </c>
      <c r="E1475" s="56" t="s">
        <v>1728</v>
      </c>
      <c r="F1475" s="56" t="s">
        <v>1730</v>
      </c>
      <c r="G1475" s="56"/>
      <c r="H1475" s="56" t="s">
        <v>243</v>
      </c>
      <c r="I1475" s="82">
        <v>50</v>
      </c>
      <c r="J1475" s="52">
        <v>590000000</v>
      </c>
      <c r="K1475" s="56" t="s">
        <v>103</v>
      </c>
      <c r="L1475" s="52" t="s">
        <v>1558</v>
      </c>
      <c r="M1475" s="56" t="s">
        <v>103</v>
      </c>
      <c r="N1475" s="52"/>
      <c r="O1475" s="53" t="s">
        <v>2368</v>
      </c>
      <c r="P1475" s="53" t="s">
        <v>1585</v>
      </c>
      <c r="Q1475" s="52"/>
      <c r="R1475" s="52"/>
      <c r="S1475" s="54">
        <v>2</v>
      </c>
      <c r="T1475" s="52"/>
      <c r="U1475" s="54">
        <f t="shared" si="91"/>
        <v>0</v>
      </c>
      <c r="V1475" s="54">
        <v>0</v>
      </c>
      <c r="W1475" s="52"/>
      <c r="X1475" s="52">
        <v>2012</v>
      </c>
      <c r="Y1475" s="52"/>
    </row>
    <row r="1476" spans="2:25" s="55" customFormat="1" ht="102" outlineLevel="1">
      <c r="B1476" s="52" t="s">
        <v>2097</v>
      </c>
      <c r="C1476" s="78" t="s">
        <v>246</v>
      </c>
      <c r="D1476" s="52" t="s">
        <v>1731</v>
      </c>
      <c r="E1476" s="56" t="s">
        <v>1728</v>
      </c>
      <c r="F1476" s="56" t="s">
        <v>1730</v>
      </c>
      <c r="G1476" s="56"/>
      <c r="H1476" s="56" t="s">
        <v>243</v>
      </c>
      <c r="I1476" s="82">
        <v>50</v>
      </c>
      <c r="J1476" s="52">
        <v>510000000</v>
      </c>
      <c r="K1476" s="56" t="s">
        <v>104</v>
      </c>
      <c r="L1476" s="53" t="s">
        <v>2367</v>
      </c>
      <c r="M1476" s="56" t="s">
        <v>104</v>
      </c>
      <c r="N1476" s="52"/>
      <c r="O1476" s="53" t="s">
        <v>2367</v>
      </c>
      <c r="P1476" s="53" t="s">
        <v>1585</v>
      </c>
      <c r="Q1476" s="52"/>
      <c r="R1476" s="52"/>
      <c r="S1476" s="54">
        <v>1</v>
      </c>
      <c r="T1476" s="52"/>
      <c r="U1476" s="54">
        <f t="shared" si="91"/>
        <v>0</v>
      </c>
      <c r="V1476" s="54">
        <v>0</v>
      </c>
      <c r="W1476" s="52"/>
      <c r="X1476" s="52">
        <v>2012</v>
      </c>
      <c r="Y1476" s="164"/>
    </row>
    <row r="1477" spans="2:25" s="55" customFormat="1" ht="127.5">
      <c r="B1477" s="52" t="s">
        <v>2098</v>
      </c>
      <c r="C1477" s="78" t="s">
        <v>246</v>
      </c>
      <c r="D1477" s="52" t="s">
        <v>1758</v>
      </c>
      <c r="E1477" s="56" t="s">
        <v>1735</v>
      </c>
      <c r="F1477" s="56" t="s">
        <v>1756</v>
      </c>
      <c r="G1477" s="56"/>
      <c r="H1477" s="56" t="s">
        <v>243</v>
      </c>
      <c r="I1477" s="82">
        <v>100</v>
      </c>
      <c r="J1477" s="52">
        <v>751000000</v>
      </c>
      <c r="K1477" s="53" t="s">
        <v>2290</v>
      </c>
      <c r="L1477" s="53" t="s">
        <v>1755</v>
      </c>
      <c r="M1477" s="53" t="s">
        <v>2290</v>
      </c>
      <c r="N1477" s="52"/>
      <c r="O1477" s="53" t="s">
        <v>1757</v>
      </c>
      <c r="P1477" s="56" t="s">
        <v>1475</v>
      </c>
      <c r="Q1477" s="52"/>
      <c r="R1477" s="52"/>
      <c r="S1477" s="54">
        <v>1</v>
      </c>
      <c r="T1477" s="52"/>
      <c r="U1477" s="54">
        <f t="shared" si="91"/>
        <v>0</v>
      </c>
      <c r="V1477" s="54">
        <v>0</v>
      </c>
      <c r="W1477" s="52"/>
      <c r="X1477" s="52">
        <v>2012</v>
      </c>
      <c r="Y1477" s="52">
        <v>11.14</v>
      </c>
    </row>
    <row r="1478" spans="2:25" s="55" customFormat="1" ht="127.5">
      <c r="B1478" s="52" t="s">
        <v>2593</v>
      </c>
      <c r="C1478" s="78" t="s">
        <v>246</v>
      </c>
      <c r="D1478" s="52" t="s">
        <v>1758</v>
      </c>
      <c r="E1478" s="56" t="s">
        <v>1735</v>
      </c>
      <c r="F1478" s="56" t="s">
        <v>1756</v>
      </c>
      <c r="G1478" s="56"/>
      <c r="H1478" s="56" t="s">
        <v>243</v>
      </c>
      <c r="I1478" s="82">
        <v>100</v>
      </c>
      <c r="J1478" s="52">
        <v>751000000</v>
      </c>
      <c r="K1478" s="53" t="s">
        <v>2290</v>
      </c>
      <c r="L1478" s="53" t="s">
        <v>1471</v>
      </c>
      <c r="M1478" s="53" t="s">
        <v>2290</v>
      </c>
      <c r="N1478" s="52"/>
      <c r="O1478" s="53" t="s">
        <v>2176</v>
      </c>
      <c r="P1478" s="56" t="s">
        <v>1475</v>
      </c>
      <c r="Q1478" s="52"/>
      <c r="R1478" s="52"/>
      <c r="S1478" s="54">
        <v>1</v>
      </c>
      <c r="T1478" s="52"/>
      <c r="U1478" s="54">
        <f t="shared" si="91"/>
        <v>955357.14285714296</v>
      </c>
      <c r="V1478" s="54">
        <v>1070000</v>
      </c>
      <c r="W1478" s="52"/>
      <c r="X1478" s="52">
        <v>2012</v>
      </c>
      <c r="Y1478" s="52"/>
    </row>
    <row r="1479" spans="2:25" s="55" customFormat="1" ht="102" outlineLevel="1">
      <c r="B1479" s="52" t="s">
        <v>2099</v>
      </c>
      <c r="C1479" s="78" t="s">
        <v>246</v>
      </c>
      <c r="D1479" s="57" t="s">
        <v>1621</v>
      </c>
      <c r="E1479" s="56" t="s">
        <v>1811</v>
      </c>
      <c r="F1479" s="56" t="s">
        <v>1812</v>
      </c>
      <c r="G1479" s="56"/>
      <c r="H1479" s="52" t="s">
        <v>243</v>
      </c>
      <c r="I1479" s="52">
        <v>100</v>
      </c>
      <c r="J1479" s="52">
        <v>711000000</v>
      </c>
      <c r="K1479" s="56" t="s">
        <v>151</v>
      </c>
      <c r="L1479" s="53" t="s">
        <v>1752</v>
      </c>
      <c r="M1479" s="53" t="s">
        <v>1816</v>
      </c>
      <c r="N1479" s="52"/>
      <c r="O1479" s="53" t="s">
        <v>1572</v>
      </c>
      <c r="P1479" s="53" t="s">
        <v>1689</v>
      </c>
      <c r="Q1479" s="52"/>
      <c r="R1479" s="52"/>
      <c r="S1479" s="54">
        <v>1</v>
      </c>
      <c r="T1479" s="52"/>
      <c r="U1479" s="54">
        <f t="shared" si="91"/>
        <v>594998.33928571432</v>
      </c>
      <c r="V1479" s="54">
        <f>'[1]бизнес советник'!$B$33</f>
        <v>666398.14</v>
      </c>
      <c r="W1479" s="52"/>
      <c r="X1479" s="52">
        <v>2012</v>
      </c>
      <c r="Y1479" s="52"/>
    </row>
    <row r="1480" spans="2:25" s="55" customFormat="1" ht="193.5" customHeight="1" outlineLevel="1">
      <c r="B1480" s="52" t="s">
        <v>2100</v>
      </c>
      <c r="C1480" s="78" t="s">
        <v>246</v>
      </c>
      <c r="D1480" s="83" t="s">
        <v>1817</v>
      </c>
      <c r="E1480" s="56" t="s">
        <v>1813</v>
      </c>
      <c r="F1480" s="56" t="s">
        <v>1814</v>
      </c>
      <c r="G1480" s="56"/>
      <c r="H1480" s="52" t="s">
        <v>243</v>
      </c>
      <c r="I1480" s="82">
        <v>90</v>
      </c>
      <c r="J1480" s="52">
        <v>751000000</v>
      </c>
      <c r="K1480" s="53" t="s">
        <v>2290</v>
      </c>
      <c r="L1480" s="53" t="s">
        <v>1759</v>
      </c>
      <c r="M1480" s="53" t="s">
        <v>2290</v>
      </c>
      <c r="N1480" s="52"/>
      <c r="O1480" s="53" t="s">
        <v>1815</v>
      </c>
      <c r="P1480" s="53" t="s">
        <v>1585</v>
      </c>
      <c r="Q1480" s="52"/>
      <c r="R1480" s="52"/>
      <c r="S1480" s="54">
        <v>1</v>
      </c>
      <c r="T1480" s="52"/>
      <c r="U1480" s="54">
        <f t="shared" si="91"/>
        <v>2678571.4285714286</v>
      </c>
      <c r="V1480" s="54">
        <f>'[1]бизнес советник'!$B$40</f>
        <v>3000000</v>
      </c>
      <c r="W1480" s="52"/>
      <c r="X1480" s="52">
        <v>2012</v>
      </c>
      <c r="Y1480" s="52"/>
    </row>
    <row r="1481" spans="2:25" s="55" customFormat="1" ht="132" customHeight="1" outlineLevel="1">
      <c r="B1481" s="52" t="s">
        <v>2101</v>
      </c>
      <c r="C1481" s="78" t="s">
        <v>246</v>
      </c>
      <c r="D1481" s="57" t="s">
        <v>336</v>
      </c>
      <c r="E1481" s="56" t="s">
        <v>1672</v>
      </c>
      <c r="F1481" s="56" t="s">
        <v>2162</v>
      </c>
      <c r="G1481" s="56"/>
      <c r="H1481" s="52" t="s">
        <v>245</v>
      </c>
      <c r="I1481" s="52">
        <v>80</v>
      </c>
      <c r="J1481" s="52">
        <v>110000000</v>
      </c>
      <c r="K1481" s="56" t="s">
        <v>125</v>
      </c>
      <c r="L1481" s="53" t="s">
        <v>1471</v>
      </c>
      <c r="M1481" s="56" t="s">
        <v>125</v>
      </c>
      <c r="N1481" s="52"/>
      <c r="O1481" s="53" t="s">
        <v>2176</v>
      </c>
      <c r="P1481" s="53" t="s">
        <v>2071</v>
      </c>
      <c r="Q1481" s="52"/>
      <c r="R1481" s="52"/>
      <c r="S1481" s="54"/>
      <c r="T1481" s="56"/>
      <c r="U1481" s="54">
        <f t="shared" si="91"/>
        <v>4196000</v>
      </c>
      <c r="V1481" s="54">
        <v>4699520</v>
      </c>
      <c r="W1481" s="52"/>
      <c r="X1481" s="52">
        <v>2012</v>
      </c>
      <c r="Y1481" s="52"/>
    </row>
    <row r="1482" spans="2:25" s="55" customFormat="1" ht="132" customHeight="1" outlineLevel="1">
      <c r="B1482" s="52" t="s">
        <v>2102</v>
      </c>
      <c r="C1482" s="78" t="s">
        <v>246</v>
      </c>
      <c r="D1482" s="57" t="s">
        <v>336</v>
      </c>
      <c r="E1482" s="56" t="s">
        <v>1672</v>
      </c>
      <c r="F1482" s="56" t="s">
        <v>2162</v>
      </c>
      <c r="G1482" s="56"/>
      <c r="H1482" s="52" t="s">
        <v>245</v>
      </c>
      <c r="I1482" s="52">
        <v>80</v>
      </c>
      <c r="J1482" s="52">
        <v>150000000</v>
      </c>
      <c r="K1482" s="56" t="s">
        <v>126</v>
      </c>
      <c r="L1482" s="53" t="s">
        <v>1471</v>
      </c>
      <c r="M1482" s="56" t="s">
        <v>126</v>
      </c>
      <c r="N1482" s="52"/>
      <c r="O1482" s="53" t="s">
        <v>2176</v>
      </c>
      <c r="P1482" s="53" t="s">
        <v>2071</v>
      </c>
      <c r="Q1482" s="52"/>
      <c r="R1482" s="52"/>
      <c r="S1482" s="54"/>
      <c r="T1482" s="56"/>
      <c r="U1482" s="54">
        <f t="shared" si="91"/>
        <v>4196000</v>
      </c>
      <c r="V1482" s="54">
        <v>4699520</v>
      </c>
      <c r="W1482" s="52"/>
      <c r="X1482" s="52">
        <v>2012</v>
      </c>
      <c r="Y1482" s="52"/>
    </row>
    <row r="1483" spans="2:25" s="55" customFormat="1" ht="132" customHeight="1" outlineLevel="1">
      <c r="B1483" s="52" t="s">
        <v>2103</v>
      </c>
      <c r="C1483" s="78" t="s">
        <v>246</v>
      </c>
      <c r="D1483" s="57" t="s">
        <v>336</v>
      </c>
      <c r="E1483" s="56" t="s">
        <v>1672</v>
      </c>
      <c r="F1483" s="56" t="s">
        <v>2162</v>
      </c>
      <c r="G1483" s="56"/>
      <c r="H1483" s="52" t="s">
        <v>245</v>
      </c>
      <c r="I1483" s="52">
        <v>80</v>
      </c>
      <c r="J1483" s="52">
        <v>190000000</v>
      </c>
      <c r="K1483" s="56" t="s">
        <v>117</v>
      </c>
      <c r="L1483" s="53" t="s">
        <v>1471</v>
      </c>
      <c r="M1483" s="56" t="s">
        <v>117</v>
      </c>
      <c r="N1483" s="52"/>
      <c r="O1483" s="53" t="s">
        <v>2176</v>
      </c>
      <c r="P1483" s="53" t="s">
        <v>2071</v>
      </c>
      <c r="Q1483" s="52"/>
      <c r="R1483" s="52"/>
      <c r="S1483" s="54"/>
      <c r="T1483" s="56"/>
      <c r="U1483" s="54">
        <f t="shared" si="91"/>
        <v>4196000</v>
      </c>
      <c r="V1483" s="54">
        <v>4699520</v>
      </c>
      <c r="W1483" s="52"/>
      <c r="X1483" s="52">
        <v>2012</v>
      </c>
      <c r="Y1483" s="52"/>
    </row>
    <row r="1484" spans="2:25" s="55" customFormat="1" ht="132" customHeight="1" outlineLevel="1">
      <c r="B1484" s="52" t="s">
        <v>2104</v>
      </c>
      <c r="C1484" s="78" t="s">
        <v>246</v>
      </c>
      <c r="D1484" s="57" t="s">
        <v>336</v>
      </c>
      <c r="E1484" s="56" t="s">
        <v>1672</v>
      </c>
      <c r="F1484" s="56" t="s">
        <v>2162</v>
      </c>
      <c r="G1484" s="56"/>
      <c r="H1484" s="52" t="s">
        <v>245</v>
      </c>
      <c r="I1484" s="52">
        <v>80</v>
      </c>
      <c r="J1484" s="52">
        <v>751000000</v>
      </c>
      <c r="K1484" s="56" t="s">
        <v>151</v>
      </c>
      <c r="L1484" s="53" t="s">
        <v>1471</v>
      </c>
      <c r="M1484" s="53" t="s">
        <v>1816</v>
      </c>
      <c r="N1484" s="52"/>
      <c r="O1484" s="53" t="s">
        <v>2176</v>
      </c>
      <c r="P1484" s="53" t="s">
        <v>2071</v>
      </c>
      <c r="Q1484" s="52"/>
      <c r="R1484" s="52"/>
      <c r="S1484" s="54"/>
      <c r="T1484" s="56"/>
      <c r="U1484" s="54">
        <f t="shared" si="91"/>
        <v>4196000</v>
      </c>
      <c r="V1484" s="54">
        <v>4699520</v>
      </c>
      <c r="W1484" s="52"/>
      <c r="X1484" s="52">
        <v>2012</v>
      </c>
      <c r="Y1484" s="52"/>
    </row>
    <row r="1485" spans="2:25" s="55" customFormat="1" ht="132" customHeight="1" outlineLevel="1">
      <c r="B1485" s="52" t="s">
        <v>2105</v>
      </c>
      <c r="C1485" s="78" t="s">
        <v>246</v>
      </c>
      <c r="D1485" s="57" t="s">
        <v>336</v>
      </c>
      <c r="E1485" s="56" t="s">
        <v>1672</v>
      </c>
      <c r="F1485" s="56" t="s">
        <v>2162</v>
      </c>
      <c r="G1485" s="56"/>
      <c r="H1485" s="52" t="s">
        <v>245</v>
      </c>
      <c r="I1485" s="52">
        <v>80</v>
      </c>
      <c r="J1485" s="52">
        <v>711000000</v>
      </c>
      <c r="K1485" s="63" t="s">
        <v>1437</v>
      </c>
      <c r="L1485" s="53" t="s">
        <v>1471</v>
      </c>
      <c r="M1485" s="63" t="s">
        <v>1437</v>
      </c>
      <c r="N1485" s="52"/>
      <c r="O1485" s="53" t="s">
        <v>2176</v>
      </c>
      <c r="P1485" s="53" t="s">
        <v>2071</v>
      </c>
      <c r="Q1485" s="52"/>
      <c r="R1485" s="52"/>
      <c r="S1485" s="54"/>
      <c r="T1485" s="63"/>
      <c r="U1485" s="54">
        <f t="shared" si="91"/>
        <v>4196000</v>
      </c>
      <c r="V1485" s="54">
        <v>4699520</v>
      </c>
      <c r="W1485" s="52"/>
      <c r="X1485" s="52">
        <v>2012</v>
      </c>
      <c r="Y1485" s="52"/>
    </row>
    <row r="1486" spans="2:25" s="55" customFormat="1" ht="132" customHeight="1" outlineLevel="1">
      <c r="B1486" s="52" t="s">
        <v>2106</v>
      </c>
      <c r="C1486" s="78" t="s">
        <v>246</v>
      </c>
      <c r="D1486" s="57" t="s">
        <v>336</v>
      </c>
      <c r="E1486" s="56" t="s">
        <v>1672</v>
      </c>
      <c r="F1486" s="56" t="s">
        <v>2162</v>
      </c>
      <c r="G1486" s="56"/>
      <c r="H1486" s="52" t="s">
        <v>245</v>
      </c>
      <c r="I1486" s="52">
        <v>80</v>
      </c>
      <c r="J1486" s="52">
        <v>230000000</v>
      </c>
      <c r="K1486" s="56" t="s">
        <v>118</v>
      </c>
      <c r="L1486" s="53" t="s">
        <v>1471</v>
      </c>
      <c r="M1486" s="56" t="s">
        <v>118</v>
      </c>
      <c r="N1486" s="52"/>
      <c r="O1486" s="53" t="s">
        <v>2176</v>
      </c>
      <c r="P1486" s="53" t="s">
        <v>2071</v>
      </c>
      <c r="Q1486" s="52"/>
      <c r="R1486" s="52"/>
      <c r="S1486" s="54"/>
      <c r="T1486" s="56"/>
      <c r="U1486" s="54">
        <f t="shared" si="91"/>
        <v>4196000</v>
      </c>
      <c r="V1486" s="54">
        <v>4699520</v>
      </c>
      <c r="W1486" s="52"/>
      <c r="X1486" s="52">
        <v>2012</v>
      </c>
      <c r="Y1486" s="52"/>
    </row>
    <row r="1487" spans="2:25" s="55" customFormat="1" ht="132" customHeight="1" outlineLevel="1">
      <c r="B1487" s="52" t="s">
        <v>2107</v>
      </c>
      <c r="C1487" s="78" t="s">
        <v>246</v>
      </c>
      <c r="D1487" s="57" t="s">
        <v>336</v>
      </c>
      <c r="E1487" s="56" t="s">
        <v>1672</v>
      </c>
      <c r="F1487" s="56" t="s">
        <v>2162</v>
      </c>
      <c r="G1487" s="56"/>
      <c r="H1487" s="52" t="s">
        <v>245</v>
      </c>
      <c r="I1487" s="52">
        <v>80</v>
      </c>
      <c r="J1487" s="52">
        <v>630000000</v>
      </c>
      <c r="K1487" s="56" t="s">
        <v>97</v>
      </c>
      <c r="L1487" s="53" t="s">
        <v>1471</v>
      </c>
      <c r="M1487" s="56" t="s">
        <v>97</v>
      </c>
      <c r="N1487" s="52"/>
      <c r="O1487" s="53" t="s">
        <v>2176</v>
      </c>
      <c r="P1487" s="53" t="s">
        <v>2071</v>
      </c>
      <c r="Q1487" s="52"/>
      <c r="R1487" s="52"/>
      <c r="S1487" s="54"/>
      <c r="T1487" s="56"/>
      <c r="U1487" s="54">
        <f t="shared" si="91"/>
        <v>4196000</v>
      </c>
      <c r="V1487" s="54">
        <v>4699520</v>
      </c>
      <c r="W1487" s="52"/>
      <c r="X1487" s="52">
        <v>2012</v>
      </c>
      <c r="Y1487" s="52"/>
    </row>
    <row r="1488" spans="2:25" s="55" customFormat="1" ht="132" customHeight="1" outlineLevel="1">
      <c r="B1488" s="52" t="s">
        <v>2108</v>
      </c>
      <c r="C1488" s="78" t="s">
        <v>246</v>
      </c>
      <c r="D1488" s="57" t="s">
        <v>336</v>
      </c>
      <c r="E1488" s="56" t="s">
        <v>1672</v>
      </c>
      <c r="F1488" s="56" t="s">
        <v>2162</v>
      </c>
      <c r="G1488" s="56"/>
      <c r="H1488" s="52" t="s">
        <v>245</v>
      </c>
      <c r="I1488" s="52">
        <v>80</v>
      </c>
      <c r="J1488" s="52">
        <v>310000000</v>
      </c>
      <c r="K1488" s="56" t="s">
        <v>119</v>
      </c>
      <c r="L1488" s="53" t="s">
        <v>1471</v>
      </c>
      <c r="M1488" s="56" t="s">
        <v>119</v>
      </c>
      <c r="N1488" s="52"/>
      <c r="O1488" s="53" t="s">
        <v>2176</v>
      </c>
      <c r="P1488" s="53" t="s">
        <v>2071</v>
      </c>
      <c r="Q1488" s="52"/>
      <c r="R1488" s="52"/>
      <c r="S1488" s="54"/>
      <c r="T1488" s="56"/>
      <c r="U1488" s="54">
        <f t="shared" si="91"/>
        <v>4196000</v>
      </c>
      <c r="V1488" s="54">
        <v>4699520</v>
      </c>
      <c r="W1488" s="52"/>
      <c r="X1488" s="52">
        <v>2012</v>
      </c>
      <c r="Y1488" s="52"/>
    </row>
    <row r="1489" spans="2:25" s="55" customFormat="1" ht="132" customHeight="1" outlineLevel="1">
      <c r="B1489" s="52" t="s">
        <v>2109</v>
      </c>
      <c r="C1489" s="78" t="s">
        <v>246</v>
      </c>
      <c r="D1489" s="57" t="s">
        <v>336</v>
      </c>
      <c r="E1489" s="56" t="s">
        <v>1672</v>
      </c>
      <c r="F1489" s="56" t="s">
        <v>2162</v>
      </c>
      <c r="G1489" s="56"/>
      <c r="H1489" s="52" t="s">
        <v>245</v>
      </c>
      <c r="I1489" s="52">
        <v>80</v>
      </c>
      <c r="J1489" s="52">
        <v>270000000</v>
      </c>
      <c r="K1489" s="56" t="s">
        <v>98</v>
      </c>
      <c r="L1489" s="53" t="s">
        <v>1471</v>
      </c>
      <c r="M1489" s="56" t="s">
        <v>98</v>
      </c>
      <c r="N1489" s="52"/>
      <c r="O1489" s="53" t="s">
        <v>2176</v>
      </c>
      <c r="P1489" s="53" t="s">
        <v>2071</v>
      </c>
      <c r="Q1489" s="52"/>
      <c r="R1489" s="52"/>
      <c r="S1489" s="54"/>
      <c r="T1489" s="56"/>
      <c r="U1489" s="54">
        <f t="shared" si="91"/>
        <v>4196000</v>
      </c>
      <c r="V1489" s="54">
        <v>4699520</v>
      </c>
      <c r="W1489" s="52"/>
      <c r="X1489" s="52">
        <v>2012</v>
      </c>
      <c r="Y1489" s="52"/>
    </row>
    <row r="1490" spans="2:25" s="55" customFormat="1" ht="132" customHeight="1" outlineLevel="1">
      <c r="B1490" s="52" t="s">
        <v>2110</v>
      </c>
      <c r="C1490" s="78" t="s">
        <v>246</v>
      </c>
      <c r="D1490" s="57" t="s">
        <v>336</v>
      </c>
      <c r="E1490" s="56" t="s">
        <v>1672</v>
      </c>
      <c r="F1490" s="56" t="s">
        <v>2162</v>
      </c>
      <c r="G1490" s="56"/>
      <c r="H1490" s="52" t="s">
        <v>245</v>
      </c>
      <c r="I1490" s="52">
        <v>80</v>
      </c>
      <c r="J1490" s="52">
        <v>350000000</v>
      </c>
      <c r="K1490" s="56" t="s">
        <v>120</v>
      </c>
      <c r="L1490" s="53" t="s">
        <v>1471</v>
      </c>
      <c r="M1490" s="56" t="s">
        <v>120</v>
      </c>
      <c r="N1490" s="52"/>
      <c r="O1490" s="53" t="s">
        <v>2176</v>
      </c>
      <c r="P1490" s="53" t="s">
        <v>2071</v>
      </c>
      <c r="Q1490" s="52"/>
      <c r="R1490" s="52"/>
      <c r="S1490" s="54"/>
      <c r="T1490" s="56"/>
      <c r="U1490" s="54">
        <f t="shared" si="91"/>
        <v>4196000</v>
      </c>
      <c r="V1490" s="54">
        <v>4699520</v>
      </c>
      <c r="W1490" s="52"/>
      <c r="X1490" s="52">
        <v>2012</v>
      </c>
      <c r="Y1490" s="52"/>
    </row>
    <row r="1491" spans="2:25" s="55" customFormat="1" ht="132" customHeight="1" outlineLevel="1">
      <c r="B1491" s="52" t="s">
        <v>2111</v>
      </c>
      <c r="C1491" s="78" t="s">
        <v>246</v>
      </c>
      <c r="D1491" s="57" t="s">
        <v>336</v>
      </c>
      <c r="E1491" s="56" t="s">
        <v>1672</v>
      </c>
      <c r="F1491" s="56" t="s">
        <v>2162</v>
      </c>
      <c r="G1491" s="56"/>
      <c r="H1491" s="52" t="s">
        <v>245</v>
      </c>
      <c r="I1491" s="52">
        <v>80</v>
      </c>
      <c r="J1491" s="52">
        <v>390000000</v>
      </c>
      <c r="K1491" s="56" t="s">
        <v>121</v>
      </c>
      <c r="L1491" s="53" t="s">
        <v>1471</v>
      </c>
      <c r="M1491" s="56" t="s">
        <v>121</v>
      </c>
      <c r="N1491" s="52"/>
      <c r="O1491" s="53" t="s">
        <v>2176</v>
      </c>
      <c r="P1491" s="53" t="s">
        <v>2071</v>
      </c>
      <c r="Q1491" s="52"/>
      <c r="R1491" s="52"/>
      <c r="S1491" s="54"/>
      <c r="T1491" s="56"/>
      <c r="U1491" s="54">
        <f t="shared" si="91"/>
        <v>4196000</v>
      </c>
      <c r="V1491" s="54">
        <v>4699520</v>
      </c>
      <c r="W1491" s="52"/>
      <c r="X1491" s="52">
        <v>2012</v>
      </c>
      <c r="Y1491" s="52"/>
    </row>
    <row r="1492" spans="2:25" s="55" customFormat="1" ht="132" customHeight="1" outlineLevel="1">
      <c r="B1492" s="52" t="s">
        <v>2112</v>
      </c>
      <c r="C1492" s="78" t="s">
        <v>246</v>
      </c>
      <c r="D1492" s="57" t="s">
        <v>336</v>
      </c>
      <c r="E1492" s="56" t="s">
        <v>1672</v>
      </c>
      <c r="F1492" s="56" t="s">
        <v>2162</v>
      </c>
      <c r="G1492" s="56"/>
      <c r="H1492" s="52" t="s">
        <v>245</v>
      </c>
      <c r="I1492" s="52">
        <v>80</v>
      </c>
      <c r="J1492" s="52">
        <v>430000000</v>
      </c>
      <c r="K1492" s="56" t="s">
        <v>122</v>
      </c>
      <c r="L1492" s="53" t="s">
        <v>1471</v>
      </c>
      <c r="M1492" s="56" t="s">
        <v>122</v>
      </c>
      <c r="N1492" s="52"/>
      <c r="O1492" s="53" t="s">
        <v>2176</v>
      </c>
      <c r="P1492" s="53" t="s">
        <v>2071</v>
      </c>
      <c r="Q1492" s="52"/>
      <c r="R1492" s="52"/>
      <c r="S1492" s="54"/>
      <c r="T1492" s="56"/>
      <c r="U1492" s="54">
        <f t="shared" si="91"/>
        <v>4196000</v>
      </c>
      <c r="V1492" s="54">
        <v>4699520</v>
      </c>
      <c r="W1492" s="52"/>
      <c r="X1492" s="52">
        <v>2012</v>
      </c>
      <c r="Y1492" s="52"/>
    </row>
    <row r="1493" spans="2:25" s="89" customFormat="1" ht="132" customHeight="1" outlineLevel="1">
      <c r="B1493" s="52" t="s">
        <v>2113</v>
      </c>
      <c r="C1493" s="132" t="s">
        <v>246</v>
      </c>
      <c r="D1493" s="134" t="s">
        <v>336</v>
      </c>
      <c r="E1493" s="56" t="s">
        <v>1672</v>
      </c>
      <c r="F1493" s="56" t="s">
        <v>2162</v>
      </c>
      <c r="G1493" s="56"/>
      <c r="H1493" s="52" t="s">
        <v>245</v>
      </c>
      <c r="I1493" s="135">
        <v>80</v>
      </c>
      <c r="J1493" s="135">
        <v>470000000</v>
      </c>
      <c r="K1493" s="133" t="s">
        <v>123</v>
      </c>
      <c r="L1493" s="53" t="s">
        <v>1471</v>
      </c>
      <c r="M1493" s="133" t="s">
        <v>123</v>
      </c>
      <c r="N1493" s="135"/>
      <c r="O1493" s="53" t="s">
        <v>2176</v>
      </c>
      <c r="P1493" s="136" t="s">
        <v>2071</v>
      </c>
      <c r="Q1493" s="135"/>
      <c r="R1493" s="135"/>
      <c r="S1493" s="137"/>
      <c r="T1493" s="133"/>
      <c r="U1493" s="137">
        <f t="shared" si="91"/>
        <v>4196000</v>
      </c>
      <c r="V1493" s="137">
        <v>4699520</v>
      </c>
      <c r="W1493" s="135"/>
      <c r="X1493" s="52">
        <v>2012</v>
      </c>
      <c r="Y1493" s="135"/>
    </row>
    <row r="1494" spans="2:25" s="55" customFormat="1" ht="132" customHeight="1" outlineLevel="1">
      <c r="B1494" s="52" t="s">
        <v>2114</v>
      </c>
      <c r="C1494" s="78" t="s">
        <v>246</v>
      </c>
      <c r="D1494" s="57" t="s">
        <v>336</v>
      </c>
      <c r="E1494" s="56" t="s">
        <v>1672</v>
      </c>
      <c r="F1494" s="56" t="s">
        <v>2162</v>
      </c>
      <c r="G1494" s="56"/>
      <c r="H1494" s="52" t="s">
        <v>245</v>
      </c>
      <c r="I1494" s="52">
        <v>100</v>
      </c>
      <c r="J1494" s="52">
        <v>550000000</v>
      </c>
      <c r="K1494" s="56" t="s">
        <v>124</v>
      </c>
      <c r="L1494" s="53" t="s">
        <v>1471</v>
      </c>
      <c r="M1494" s="56" t="s">
        <v>124</v>
      </c>
      <c r="N1494" s="52"/>
      <c r="O1494" s="53" t="s">
        <v>2176</v>
      </c>
      <c r="P1494" s="53" t="s">
        <v>2071</v>
      </c>
      <c r="Q1494" s="52"/>
      <c r="R1494" s="52"/>
      <c r="S1494" s="54" t="s">
        <v>1754</v>
      </c>
      <c r="T1494" s="56"/>
      <c r="U1494" s="54">
        <f t="shared" si="91"/>
        <v>4196000</v>
      </c>
      <c r="V1494" s="54">
        <v>4699520</v>
      </c>
      <c r="W1494" s="52"/>
      <c r="X1494" s="52">
        <v>2012</v>
      </c>
      <c r="Y1494" s="52"/>
    </row>
    <row r="1495" spans="2:25" s="55" customFormat="1" ht="132" customHeight="1" outlineLevel="1">
      <c r="B1495" s="52" t="s">
        <v>2115</v>
      </c>
      <c r="C1495" s="78" t="s">
        <v>246</v>
      </c>
      <c r="D1495" s="57" t="s">
        <v>336</v>
      </c>
      <c r="E1495" s="56" t="s">
        <v>1672</v>
      </c>
      <c r="F1495" s="56" t="s">
        <v>2162</v>
      </c>
      <c r="G1495" s="56"/>
      <c r="H1495" s="52" t="s">
        <v>245</v>
      </c>
      <c r="I1495" s="52">
        <v>80</v>
      </c>
      <c r="J1495" s="52">
        <v>590000000</v>
      </c>
      <c r="K1495" s="56" t="s">
        <v>103</v>
      </c>
      <c r="L1495" s="53" t="s">
        <v>1471</v>
      </c>
      <c r="M1495" s="56" t="s">
        <v>103</v>
      </c>
      <c r="N1495" s="52"/>
      <c r="O1495" s="53" t="s">
        <v>2176</v>
      </c>
      <c r="P1495" s="53" t="s">
        <v>2071</v>
      </c>
      <c r="Q1495" s="52"/>
      <c r="R1495" s="52"/>
      <c r="S1495" s="54"/>
      <c r="T1495" s="56"/>
      <c r="U1495" s="54">
        <f t="shared" si="91"/>
        <v>4196000</v>
      </c>
      <c r="V1495" s="54">
        <v>4699520</v>
      </c>
      <c r="W1495" s="52"/>
      <c r="X1495" s="52">
        <v>2012</v>
      </c>
      <c r="Y1495" s="52"/>
    </row>
    <row r="1496" spans="2:25" s="55" customFormat="1" ht="132" customHeight="1" outlineLevel="1">
      <c r="B1496" s="52" t="s">
        <v>2116</v>
      </c>
      <c r="C1496" s="78" t="s">
        <v>246</v>
      </c>
      <c r="D1496" s="57" t="s">
        <v>336</v>
      </c>
      <c r="E1496" s="56" t="s">
        <v>1672</v>
      </c>
      <c r="F1496" s="56" t="s">
        <v>2162</v>
      </c>
      <c r="G1496" s="56"/>
      <c r="H1496" s="52" t="s">
        <v>245</v>
      </c>
      <c r="I1496" s="52">
        <v>80</v>
      </c>
      <c r="J1496" s="52">
        <v>510000000</v>
      </c>
      <c r="K1496" s="56" t="s">
        <v>104</v>
      </c>
      <c r="L1496" s="53" t="s">
        <v>1471</v>
      </c>
      <c r="M1496" s="56" t="s">
        <v>104</v>
      </c>
      <c r="N1496" s="52"/>
      <c r="O1496" s="53" t="s">
        <v>2176</v>
      </c>
      <c r="P1496" s="53" t="s">
        <v>2071</v>
      </c>
      <c r="Q1496" s="52"/>
      <c r="R1496" s="52"/>
      <c r="S1496" s="54"/>
      <c r="T1496" s="56"/>
      <c r="U1496" s="54">
        <f t="shared" si="91"/>
        <v>4196000</v>
      </c>
      <c r="V1496" s="54">
        <v>4699520</v>
      </c>
      <c r="W1496" s="52"/>
      <c r="X1496" s="52">
        <v>2012</v>
      </c>
      <c r="Y1496" s="52"/>
    </row>
    <row r="1497" spans="2:25" s="55" customFormat="1" ht="108" customHeight="1">
      <c r="B1497" s="52" t="s">
        <v>2117</v>
      </c>
      <c r="C1497" s="78" t="s">
        <v>246</v>
      </c>
      <c r="D1497" s="52" t="s">
        <v>309</v>
      </c>
      <c r="E1497" s="56" t="s">
        <v>2132</v>
      </c>
      <c r="F1497" s="53" t="s">
        <v>2151</v>
      </c>
      <c r="G1497" s="53"/>
      <c r="H1497" s="53" t="s">
        <v>245</v>
      </c>
      <c r="I1497" s="52">
        <v>90</v>
      </c>
      <c r="J1497" s="55">
        <v>751000000</v>
      </c>
      <c r="K1497" s="53" t="s">
        <v>2290</v>
      </c>
      <c r="L1497" s="52" t="s">
        <v>2425</v>
      </c>
      <c r="M1497" s="53" t="s">
        <v>2290</v>
      </c>
      <c r="N1497" s="52"/>
      <c r="O1497" s="53" t="s">
        <v>2426</v>
      </c>
      <c r="P1497" s="53" t="s">
        <v>1585</v>
      </c>
      <c r="Q1497" s="52"/>
      <c r="R1497" s="52"/>
      <c r="S1497" s="54">
        <v>1</v>
      </c>
      <c r="T1497" s="52"/>
      <c r="U1497" s="54">
        <f t="shared" si="91"/>
        <v>0</v>
      </c>
      <c r="V1497" s="54">
        <v>0</v>
      </c>
      <c r="W1497" s="52"/>
      <c r="X1497" s="52">
        <v>2012</v>
      </c>
      <c r="Y1497" s="52">
        <v>21</v>
      </c>
    </row>
    <row r="1498" spans="2:25" s="55" customFormat="1" ht="108" customHeight="1">
      <c r="B1498" s="52" t="s">
        <v>2594</v>
      </c>
      <c r="C1498" s="78" t="s">
        <v>246</v>
      </c>
      <c r="D1498" s="52" t="s">
        <v>309</v>
      </c>
      <c r="E1498" s="56" t="s">
        <v>2132</v>
      </c>
      <c r="F1498" s="53" t="s">
        <v>2151</v>
      </c>
      <c r="G1498" s="53"/>
      <c r="H1498" s="53" t="s">
        <v>245</v>
      </c>
      <c r="I1498" s="52">
        <v>90</v>
      </c>
      <c r="J1498" s="52">
        <v>751000000</v>
      </c>
      <c r="K1498" s="53" t="s">
        <v>2290</v>
      </c>
      <c r="L1498" s="52" t="s">
        <v>2425</v>
      </c>
      <c r="M1498" s="53" t="s">
        <v>2290</v>
      </c>
      <c r="N1498" s="52"/>
      <c r="O1498" s="53" t="s">
        <v>2426</v>
      </c>
      <c r="P1498" s="53" t="s">
        <v>1585</v>
      </c>
      <c r="Q1498" s="52"/>
      <c r="R1498" s="52"/>
      <c r="S1498" s="54">
        <v>1</v>
      </c>
      <c r="T1498" s="52"/>
      <c r="U1498" s="54">
        <f t="shared" si="91"/>
        <v>4141071.4285714282</v>
      </c>
      <c r="V1498" s="54">
        <f>5868000-1230000</f>
        <v>4638000</v>
      </c>
      <c r="W1498" s="52"/>
      <c r="X1498" s="52">
        <v>2012</v>
      </c>
      <c r="Y1498" s="52"/>
    </row>
    <row r="1499" spans="2:25" s="55" customFormat="1" ht="182.25" customHeight="1">
      <c r="B1499" s="52" t="s">
        <v>2118</v>
      </c>
      <c r="C1499" s="78" t="s">
        <v>246</v>
      </c>
      <c r="D1499" s="52" t="s">
        <v>309</v>
      </c>
      <c r="E1499" s="56" t="s">
        <v>2131</v>
      </c>
      <c r="F1499" s="56" t="s">
        <v>2152</v>
      </c>
      <c r="G1499" s="56"/>
      <c r="H1499" s="53" t="s">
        <v>242</v>
      </c>
      <c r="I1499" s="52">
        <v>90</v>
      </c>
      <c r="J1499" s="52">
        <v>751000000</v>
      </c>
      <c r="K1499" s="53" t="s">
        <v>2290</v>
      </c>
      <c r="L1499" s="52" t="s">
        <v>1471</v>
      </c>
      <c r="M1499" s="53" t="s">
        <v>2290</v>
      </c>
      <c r="N1499" s="52"/>
      <c r="O1499" s="53" t="s">
        <v>1502</v>
      </c>
      <c r="P1499" s="53" t="s">
        <v>1589</v>
      </c>
      <c r="Q1499" s="52"/>
      <c r="R1499" s="52"/>
      <c r="S1499" s="54">
        <v>1</v>
      </c>
      <c r="T1499" s="52"/>
      <c r="U1499" s="54">
        <f t="shared" si="91"/>
        <v>0</v>
      </c>
      <c r="V1499" s="54">
        <v>0</v>
      </c>
      <c r="W1499" s="52"/>
      <c r="X1499" s="52">
        <v>2012</v>
      </c>
      <c r="Y1499" s="52">
        <v>15</v>
      </c>
    </row>
    <row r="1500" spans="2:25" s="55" customFormat="1" ht="182.25" customHeight="1">
      <c r="B1500" s="52" t="s">
        <v>2639</v>
      </c>
      <c r="C1500" s="78" t="s">
        <v>246</v>
      </c>
      <c r="D1500" s="52" t="s">
        <v>309</v>
      </c>
      <c r="E1500" s="56" t="s">
        <v>2131</v>
      </c>
      <c r="F1500" s="56" t="s">
        <v>2152</v>
      </c>
      <c r="G1500" s="56"/>
      <c r="H1500" s="53" t="s">
        <v>242</v>
      </c>
      <c r="I1500" s="52">
        <v>90</v>
      </c>
      <c r="J1500" s="52">
        <v>751000000</v>
      </c>
      <c r="K1500" s="53" t="s">
        <v>2290</v>
      </c>
      <c r="L1500" s="52" t="s">
        <v>1471</v>
      </c>
      <c r="M1500" s="53" t="s">
        <v>1816</v>
      </c>
      <c r="N1500" s="52"/>
      <c r="O1500" s="53" t="s">
        <v>1502</v>
      </c>
      <c r="P1500" s="53" t="s">
        <v>1475</v>
      </c>
      <c r="Q1500" s="52"/>
      <c r="R1500" s="52"/>
      <c r="S1500" s="54">
        <v>1</v>
      </c>
      <c r="T1500" s="52"/>
      <c r="U1500" s="54">
        <f t="shared" si="91"/>
        <v>17965517.857142858</v>
      </c>
      <c r="V1500" s="54">
        <f>'[1]форумы, конференц'!$C$8</f>
        <v>20121380</v>
      </c>
      <c r="W1500" s="52"/>
      <c r="X1500" s="52">
        <v>2012</v>
      </c>
      <c r="Y1500" s="52"/>
    </row>
    <row r="1501" spans="2:25" s="55" customFormat="1" ht="102" outlineLevel="1">
      <c r="B1501" s="52" t="s">
        <v>2129</v>
      </c>
      <c r="C1501" s="78" t="s">
        <v>246</v>
      </c>
      <c r="D1501" s="57" t="s">
        <v>1710</v>
      </c>
      <c r="E1501" s="56" t="s">
        <v>1711</v>
      </c>
      <c r="F1501" s="56" t="s">
        <v>2315</v>
      </c>
      <c r="G1501" s="56"/>
      <c r="H1501" s="52" t="s">
        <v>243</v>
      </c>
      <c r="I1501" s="52">
        <v>100</v>
      </c>
      <c r="J1501" s="52">
        <v>751000000</v>
      </c>
      <c r="K1501" s="53" t="s">
        <v>2290</v>
      </c>
      <c r="L1501" s="53" t="s">
        <v>2316</v>
      </c>
      <c r="M1501" s="53" t="s">
        <v>2290</v>
      </c>
      <c r="N1501" s="52"/>
      <c r="O1501" s="53" t="s">
        <v>2316</v>
      </c>
      <c r="P1501" s="53" t="s">
        <v>1589</v>
      </c>
      <c r="Q1501" s="52"/>
      <c r="R1501" s="52"/>
      <c r="S1501" s="54"/>
      <c r="T1501" s="52"/>
      <c r="U1501" s="54">
        <f t="shared" si="90"/>
        <v>2232142.8571428573</v>
      </c>
      <c r="V1501" s="54">
        <v>2500000</v>
      </c>
      <c r="W1501" s="52"/>
      <c r="X1501" s="52">
        <v>2012</v>
      </c>
      <c r="Y1501" s="52"/>
    </row>
    <row r="1502" spans="2:25" s="55" customFormat="1" ht="234" customHeight="1">
      <c r="B1502" s="52" t="s">
        <v>2119</v>
      </c>
      <c r="C1502" s="78" t="s">
        <v>246</v>
      </c>
      <c r="D1502" s="52" t="s">
        <v>316</v>
      </c>
      <c r="E1502" s="56" t="s">
        <v>1958</v>
      </c>
      <c r="F1502" s="70" t="s">
        <v>1959</v>
      </c>
      <c r="G1502" s="56"/>
      <c r="H1502" s="56" t="s">
        <v>245</v>
      </c>
      <c r="I1502" s="82">
        <v>90</v>
      </c>
      <c r="J1502" s="52">
        <v>751000000</v>
      </c>
      <c r="K1502" s="53" t="s">
        <v>2290</v>
      </c>
      <c r="L1502" s="53" t="s">
        <v>2317</v>
      </c>
      <c r="M1502" s="53" t="s">
        <v>2290</v>
      </c>
      <c r="N1502" s="52"/>
      <c r="O1502" s="52" t="s">
        <v>2428</v>
      </c>
      <c r="P1502" s="53" t="s">
        <v>1585</v>
      </c>
      <c r="Q1502" s="52"/>
      <c r="R1502" s="52"/>
      <c r="S1502" s="54">
        <v>1</v>
      </c>
      <c r="T1502" s="52"/>
      <c r="U1502" s="54">
        <f t="shared" ref="U1502:U1510" si="92">V1502/112*100</f>
        <v>3125000</v>
      </c>
      <c r="V1502" s="54">
        <v>3500000</v>
      </c>
      <c r="W1502" s="52"/>
      <c r="X1502" s="52">
        <v>2012</v>
      </c>
      <c r="Y1502" s="52"/>
    </row>
    <row r="1503" spans="2:25" s="55" customFormat="1" ht="114.75" outlineLevel="1">
      <c r="B1503" s="52" t="s">
        <v>2120</v>
      </c>
      <c r="C1503" s="78" t="s">
        <v>246</v>
      </c>
      <c r="D1503" s="52" t="s">
        <v>330</v>
      </c>
      <c r="E1503" s="56" t="s">
        <v>1834</v>
      </c>
      <c r="F1503" s="53" t="s">
        <v>1835</v>
      </c>
      <c r="G1503" s="53"/>
      <c r="H1503" s="56" t="s">
        <v>243</v>
      </c>
      <c r="I1503" s="52">
        <v>90</v>
      </c>
      <c r="J1503" s="52">
        <v>190000000</v>
      </c>
      <c r="K1503" s="56" t="s">
        <v>117</v>
      </c>
      <c r="L1503" s="56" t="s">
        <v>1468</v>
      </c>
      <c r="M1503" s="56" t="s">
        <v>117</v>
      </c>
      <c r="N1503" s="52"/>
      <c r="O1503" s="53" t="s">
        <v>1976</v>
      </c>
      <c r="P1503" s="53" t="s">
        <v>1836</v>
      </c>
      <c r="Q1503" s="52"/>
      <c r="R1503" s="52"/>
      <c r="S1503" s="54"/>
      <c r="T1503" s="52"/>
      <c r="U1503" s="54">
        <f t="shared" si="92"/>
        <v>300000</v>
      </c>
      <c r="V1503" s="54">
        <v>336000</v>
      </c>
      <c r="W1503" s="52"/>
      <c r="X1503" s="52">
        <v>2012</v>
      </c>
      <c r="Y1503" s="52"/>
    </row>
    <row r="1504" spans="2:25" s="55" customFormat="1" ht="114.75" outlineLevel="1">
      <c r="B1504" s="52" t="s">
        <v>2121</v>
      </c>
      <c r="C1504" s="78" t="s">
        <v>246</v>
      </c>
      <c r="D1504" s="52" t="s">
        <v>330</v>
      </c>
      <c r="E1504" s="56" t="s">
        <v>1834</v>
      </c>
      <c r="F1504" s="53" t="s">
        <v>1835</v>
      </c>
      <c r="G1504" s="53"/>
      <c r="H1504" s="56" t="s">
        <v>243</v>
      </c>
      <c r="I1504" s="52">
        <v>90</v>
      </c>
      <c r="J1504" s="52">
        <v>190000000</v>
      </c>
      <c r="K1504" s="56" t="s">
        <v>103</v>
      </c>
      <c r="L1504" s="56" t="s">
        <v>1468</v>
      </c>
      <c r="M1504" s="56" t="s">
        <v>103</v>
      </c>
      <c r="N1504" s="52"/>
      <c r="O1504" s="53" t="s">
        <v>1976</v>
      </c>
      <c r="P1504" s="53" t="s">
        <v>1836</v>
      </c>
      <c r="Q1504" s="52"/>
      <c r="R1504" s="52"/>
      <c r="S1504" s="54"/>
      <c r="T1504" s="52"/>
      <c r="U1504" s="54">
        <f t="shared" ref="U1504" si="93">V1504/112*100</f>
        <v>267857.14285714284</v>
      </c>
      <c r="V1504" s="54">
        <v>300000</v>
      </c>
      <c r="W1504" s="52"/>
      <c r="X1504" s="52">
        <v>2012</v>
      </c>
      <c r="Y1504" s="52"/>
    </row>
    <row r="1505" spans="2:25" s="55" customFormat="1" ht="89.25" outlineLevel="1">
      <c r="B1505" s="52" t="s">
        <v>2122</v>
      </c>
      <c r="C1505" s="78" t="s">
        <v>246</v>
      </c>
      <c r="D1505" s="52" t="s">
        <v>1837</v>
      </c>
      <c r="E1505" s="56" t="s">
        <v>1838</v>
      </c>
      <c r="F1505" s="53" t="s">
        <v>1839</v>
      </c>
      <c r="G1505" s="53"/>
      <c r="H1505" s="56" t="s">
        <v>243</v>
      </c>
      <c r="I1505" s="52">
        <v>100</v>
      </c>
      <c r="J1505" s="52">
        <v>751000000</v>
      </c>
      <c r="K1505" s="53" t="s">
        <v>2290</v>
      </c>
      <c r="L1505" s="53" t="s">
        <v>2429</v>
      </c>
      <c r="M1505" s="53" t="s">
        <v>2290</v>
      </c>
      <c r="N1505" s="52"/>
      <c r="O1505" s="53" t="s">
        <v>2430</v>
      </c>
      <c r="P1505" s="53" t="s">
        <v>2318</v>
      </c>
      <c r="Q1505" s="52"/>
      <c r="R1505" s="52"/>
      <c r="S1505" s="54"/>
      <c r="T1505" s="52"/>
      <c r="U1505" s="54">
        <f t="shared" si="92"/>
        <v>446428.57142857148</v>
      </c>
      <c r="V1505" s="54">
        <v>500000</v>
      </c>
      <c r="W1505" s="52"/>
      <c r="X1505" s="52">
        <v>2012</v>
      </c>
      <c r="Y1505" s="52"/>
    </row>
    <row r="1506" spans="2:25" s="55" customFormat="1" ht="118.5" customHeight="1" outlineLevel="1">
      <c r="B1506" s="52" t="s">
        <v>2123</v>
      </c>
      <c r="C1506" s="78" t="s">
        <v>246</v>
      </c>
      <c r="D1506" s="52" t="s">
        <v>1837</v>
      </c>
      <c r="E1506" s="56" t="s">
        <v>1960</v>
      </c>
      <c r="F1506" s="56" t="s">
        <v>1960</v>
      </c>
      <c r="G1506" s="56"/>
      <c r="H1506" s="56" t="s">
        <v>243</v>
      </c>
      <c r="I1506" s="52">
        <v>80</v>
      </c>
      <c r="J1506" s="52">
        <v>751000000</v>
      </c>
      <c r="K1506" s="53" t="s">
        <v>2290</v>
      </c>
      <c r="L1506" s="53" t="s">
        <v>2437</v>
      </c>
      <c r="M1506" s="53" t="s">
        <v>2290</v>
      </c>
      <c r="N1506" s="52"/>
      <c r="O1506" s="53" t="s">
        <v>2176</v>
      </c>
      <c r="P1506" s="53" t="s">
        <v>2438</v>
      </c>
      <c r="Q1506" s="52"/>
      <c r="R1506" s="52"/>
      <c r="S1506" s="54"/>
      <c r="T1506" s="52"/>
      <c r="U1506" s="54">
        <f t="shared" si="92"/>
        <v>313362667.449</v>
      </c>
      <c r="V1506" s="54">
        <f>[1]аутсоурс.!$N$271*1000</f>
        <v>350966187.54288</v>
      </c>
      <c r="W1506" s="52"/>
      <c r="X1506" s="52">
        <v>2012</v>
      </c>
      <c r="Y1506" s="52"/>
    </row>
    <row r="1507" spans="2:25" s="55" customFormat="1" ht="102" outlineLevel="1">
      <c r="B1507" s="52" t="s">
        <v>2352</v>
      </c>
      <c r="C1507" s="78" t="s">
        <v>246</v>
      </c>
      <c r="D1507" s="52" t="s">
        <v>1837</v>
      </c>
      <c r="E1507" s="56" t="s">
        <v>1961</v>
      </c>
      <c r="F1507" s="56" t="s">
        <v>1961</v>
      </c>
      <c r="G1507" s="56"/>
      <c r="H1507" s="56" t="s">
        <v>242</v>
      </c>
      <c r="I1507" s="52">
        <v>70</v>
      </c>
      <c r="J1507" s="52">
        <v>751000000</v>
      </c>
      <c r="K1507" s="53" t="s">
        <v>2290</v>
      </c>
      <c r="L1507" s="53" t="s">
        <v>1501</v>
      </c>
      <c r="M1507" s="53" t="s">
        <v>2290</v>
      </c>
      <c r="N1507" s="52"/>
      <c r="O1507" s="53" t="s">
        <v>2176</v>
      </c>
      <c r="P1507" s="53" t="s">
        <v>1974</v>
      </c>
      <c r="Q1507" s="52"/>
      <c r="R1507" s="52"/>
      <c r="S1507" s="54"/>
      <c r="T1507" s="52"/>
      <c r="U1507" s="54">
        <f t="shared" si="92"/>
        <v>6696428.5714285709</v>
      </c>
      <c r="V1507" s="54">
        <v>7500000</v>
      </c>
      <c r="W1507" s="52"/>
      <c r="X1507" s="52">
        <v>2012</v>
      </c>
      <c r="Y1507" s="52"/>
    </row>
    <row r="1508" spans="2:25" s="55" customFormat="1" ht="124.5" customHeight="1" outlineLevel="1">
      <c r="B1508" s="52" t="s">
        <v>2416</v>
      </c>
      <c r="C1508" s="78" t="s">
        <v>246</v>
      </c>
      <c r="D1508" s="52" t="s">
        <v>328</v>
      </c>
      <c r="E1508" s="56" t="s">
        <v>2127</v>
      </c>
      <c r="F1508" s="56" t="s">
        <v>2323</v>
      </c>
      <c r="G1508" s="56"/>
      <c r="H1508" s="56" t="s">
        <v>242</v>
      </c>
      <c r="I1508" s="52">
        <v>100</v>
      </c>
      <c r="J1508" s="52">
        <v>751000000</v>
      </c>
      <c r="K1508" s="53" t="s">
        <v>2290</v>
      </c>
      <c r="L1508" s="53" t="s">
        <v>1503</v>
      </c>
      <c r="M1508" s="53" t="s">
        <v>2290</v>
      </c>
      <c r="N1508" s="52"/>
      <c r="O1508" s="56" t="s">
        <v>2422</v>
      </c>
      <c r="P1508" s="53" t="s">
        <v>1475</v>
      </c>
      <c r="Q1508" s="52"/>
      <c r="R1508" s="52"/>
      <c r="S1508" s="54"/>
      <c r="T1508" s="52"/>
      <c r="U1508" s="54">
        <f t="shared" si="92"/>
        <v>0</v>
      </c>
      <c r="V1508" s="54">
        <v>0</v>
      </c>
      <c r="W1508" s="52"/>
      <c r="X1508" s="52">
        <v>2012</v>
      </c>
      <c r="Y1508" s="52">
        <v>21</v>
      </c>
    </row>
    <row r="1509" spans="2:25" s="55" customFormat="1" ht="124.5" customHeight="1" outlineLevel="1">
      <c r="B1509" s="52" t="s">
        <v>2910</v>
      </c>
      <c r="C1509" s="78" t="s">
        <v>246</v>
      </c>
      <c r="D1509" s="52" t="s">
        <v>328</v>
      </c>
      <c r="E1509" s="56" t="s">
        <v>2127</v>
      </c>
      <c r="F1509" s="56" t="s">
        <v>2323</v>
      </c>
      <c r="G1509" s="56"/>
      <c r="H1509" s="56" t="s">
        <v>242</v>
      </c>
      <c r="I1509" s="52">
        <v>100</v>
      </c>
      <c r="J1509" s="52">
        <v>751000000</v>
      </c>
      <c r="K1509" s="53" t="s">
        <v>2290</v>
      </c>
      <c r="L1509" s="53" t="s">
        <v>1503</v>
      </c>
      <c r="M1509" s="53" t="s">
        <v>2290</v>
      </c>
      <c r="N1509" s="52"/>
      <c r="O1509" s="56" t="s">
        <v>2422</v>
      </c>
      <c r="P1509" s="53" t="s">
        <v>1475</v>
      </c>
      <c r="Q1509" s="52"/>
      <c r="R1509" s="52"/>
      <c r="S1509" s="54"/>
      <c r="T1509" s="52"/>
      <c r="U1509" s="54">
        <f t="shared" si="92"/>
        <v>129000000</v>
      </c>
      <c r="V1509" s="54">
        <f>146400000-1618800-301200</f>
        <v>144480000</v>
      </c>
      <c r="W1509" s="52"/>
      <c r="X1509" s="52">
        <v>2012</v>
      </c>
      <c r="Y1509" s="52"/>
    </row>
    <row r="1510" spans="2:25" s="55" customFormat="1" ht="122.25" customHeight="1" outlineLevel="1">
      <c r="B1510" s="52" t="s">
        <v>2421</v>
      </c>
      <c r="C1510" s="78" t="s">
        <v>246</v>
      </c>
      <c r="D1510" s="52" t="s">
        <v>1758</v>
      </c>
      <c r="E1510" s="56" t="s">
        <v>1735</v>
      </c>
      <c r="F1510" s="56" t="s">
        <v>1735</v>
      </c>
      <c r="G1510" s="56"/>
      <c r="H1510" s="56" t="s">
        <v>243</v>
      </c>
      <c r="I1510" s="82">
        <v>80</v>
      </c>
      <c r="J1510" s="52">
        <v>751000000</v>
      </c>
      <c r="K1510" s="53" t="s">
        <v>2290</v>
      </c>
      <c r="L1510" s="53" t="s">
        <v>2365</v>
      </c>
      <c r="M1510" s="53" t="s">
        <v>2338</v>
      </c>
      <c r="N1510" s="52"/>
      <c r="O1510" s="53" t="s">
        <v>2366</v>
      </c>
      <c r="P1510" s="56" t="s">
        <v>2364</v>
      </c>
      <c r="Q1510" s="52"/>
      <c r="R1510" s="52"/>
      <c r="S1510" s="54" t="s">
        <v>1754</v>
      </c>
      <c r="T1510" s="52"/>
      <c r="U1510" s="54">
        <f t="shared" si="92"/>
        <v>892857.14285714296</v>
      </c>
      <c r="V1510" s="54">
        <v>1000000</v>
      </c>
      <c r="W1510" s="52"/>
      <c r="X1510" s="52">
        <v>2012</v>
      </c>
      <c r="Y1510" s="52"/>
    </row>
    <row r="1511" spans="2:25" s="55" customFormat="1" ht="102" outlineLevel="1">
      <c r="B1511" s="52" t="s">
        <v>2436</v>
      </c>
      <c r="C1511" s="78" t="s">
        <v>246</v>
      </c>
      <c r="D1511" s="52" t="s">
        <v>2322</v>
      </c>
      <c r="E1511" s="56" t="s">
        <v>2130</v>
      </c>
      <c r="F1511" s="56" t="s">
        <v>2319</v>
      </c>
      <c r="G1511" s="56"/>
      <c r="H1511" s="56" t="s">
        <v>243</v>
      </c>
      <c r="I1511" s="82">
        <v>50</v>
      </c>
      <c r="J1511" s="52">
        <v>751000000</v>
      </c>
      <c r="K1511" s="53" t="s">
        <v>2290</v>
      </c>
      <c r="L1511" s="53" t="s">
        <v>1471</v>
      </c>
      <c r="M1511" s="53" t="s">
        <v>2290</v>
      </c>
      <c r="N1511" s="52"/>
      <c r="O1511" s="53" t="s">
        <v>2197</v>
      </c>
      <c r="P1511" s="53" t="s">
        <v>1469</v>
      </c>
      <c r="Q1511" s="52"/>
      <c r="R1511" s="52"/>
      <c r="S1511" s="54"/>
      <c r="T1511" s="52"/>
      <c r="U1511" s="54">
        <f t="shared" ref="U1511" si="94">V1511/112*100</f>
        <v>357142.85714285716</v>
      </c>
      <c r="V1511" s="54">
        <v>400000</v>
      </c>
      <c r="W1511" s="52"/>
      <c r="X1511" s="52">
        <v>2012</v>
      </c>
      <c r="Y1511" s="52"/>
    </row>
    <row r="1512" spans="2:25" s="118" customFormat="1" ht="102" outlineLevel="1">
      <c r="B1512" s="52" t="s">
        <v>2490</v>
      </c>
      <c r="C1512" s="78" t="s">
        <v>246</v>
      </c>
      <c r="D1512" s="52" t="s">
        <v>327</v>
      </c>
      <c r="E1512" s="56" t="s">
        <v>174</v>
      </c>
      <c r="F1512" s="56" t="s">
        <v>1477</v>
      </c>
      <c r="G1512" s="56"/>
      <c r="H1512" s="52" t="s">
        <v>243</v>
      </c>
      <c r="I1512" s="52">
        <v>100</v>
      </c>
      <c r="J1512" s="52">
        <v>470000000</v>
      </c>
      <c r="K1512" s="56" t="s">
        <v>123</v>
      </c>
      <c r="L1512" s="52" t="s">
        <v>1468</v>
      </c>
      <c r="M1512" s="56" t="s">
        <v>2491</v>
      </c>
      <c r="N1512" s="52"/>
      <c r="O1512" s="53" t="s">
        <v>2496</v>
      </c>
      <c r="P1512" s="53" t="s">
        <v>1469</v>
      </c>
      <c r="Q1512" s="52"/>
      <c r="R1512" s="52"/>
      <c r="S1512" s="54"/>
      <c r="T1512" s="52"/>
      <c r="U1512" s="54">
        <f t="shared" ref="U1512:U1518" si="95">V1512/112*100</f>
        <v>2678571.4285714286</v>
      </c>
      <c r="V1512" s="54">
        <v>3000000</v>
      </c>
      <c r="W1512" s="52"/>
      <c r="X1512" s="52">
        <v>2012</v>
      </c>
      <c r="Y1512" s="52"/>
    </row>
    <row r="1513" spans="2:25" s="118" customFormat="1" ht="102" outlineLevel="1">
      <c r="B1513" s="52" t="s">
        <v>2492</v>
      </c>
      <c r="C1513" s="78" t="s">
        <v>246</v>
      </c>
      <c r="D1513" s="52" t="s">
        <v>332</v>
      </c>
      <c r="E1513" s="56" t="s">
        <v>2493</v>
      </c>
      <c r="F1513" s="53" t="s">
        <v>2494</v>
      </c>
      <c r="G1513" s="53"/>
      <c r="H1513" s="52" t="s">
        <v>243</v>
      </c>
      <c r="I1513" s="52">
        <v>100</v>
      </c>
      <c r="J1513" s="52">
        <v>470000000</v>
      </c>
      <c r="K1513" s="56" t="s">
        <v>123</v>
      </c>
      <c r="L1513" s="53" t="s">
        <v>1468</v>
      </c>
      <c r="M1513" s="56" t="s">
        <v>2491</v>
      </c>
      <c r="N1513" s="52"/>
      <c r="O1513" s="53" t="s">
        <v>2176</v>
      </c>
      <c r="P1513" s="53" t="s">
        <v>1469</v>
      </c>
      <c r="Q1513" s="52"/>
      <c r="R1513" s="52"/>
      <c r="S1513" s="54"/>
      <c r="T1513" s="52"/>
      <c r="U1513" s="54">
        <f t="shared" si="95"/>
        <v>133928.57142857142</v>
      </c>
      <c r="V1513" s="54">
        <v>150000</v>
      </c>
      <c r="W1513" s="52"/>
      <c r="X1513" s="52">
        <v>2012</v>
      </c>
      <c r="Y1513" s="52"/>
    </row>
    <row r="1514" spans="2:25" s="118" customFormat="1" ht="89.25" outlineLevel="1">
      <c r="B1514" s="52" t="s">
        <v>2495</v>
      </c>
      <c r="C1514" s="78" t="s">
        <v>246</v>
      </c>
      <c r="D1514" s="52" t="s">
        <v>1543</v>
      </c>
      <c r="E1514" s="56" t="s">
        <v>2497</v>
      </c>
      <c r="F1514" s="56" t="s">
        <v>2497</v>
      </c>
      <c r="G1514" s="56"/>
      <c r="H1514" s="52" t="s">
        <v>243</v>
      </c>
      <c r="I1514" s="52">
        <v>100</v>
      </c>
      <c r="J1514" s="52">
        <v>470000000</v>
      </c>
      <c r="K1514" s="56" t="s">
        <v>123</v>
      </c>
      <c r="L1514" s="53" t="s">
        <v>1468</v>
      </c>
      <c r="M1514" s="56" t="s">
        <v>2491</v>
      </c>
      <c r="N1514" s="52"/>
      <c r="O1514" s="53" t="s">
        <v>1975</v>
      </c>
      <c r="P1514" s="53" t="s">
        <v>1489</v>
      </c>
      <c r="Q1514" s="52"/>
      <c r="R1514" s="52"/>
      <c r="S1514" s="54">
        <v>3</v>
      </c>
      <c r="T1514" s="52"/>
      <c r="U1514" s="54">
        <f t="shared" si="95"/>
        <v>200892.85714285713</v>
      </c>
      <c r="V1514" s="68">
        <v>225000</v>
      </c>
      <c r="W1514" s="52"/>
      <c r="X1514" s="52">
        <v>2012</v>
      </c>
      <c r="Y1514" s="52"/>
    </row>
    <row r="1515" spans="2:25" s="55" customFormat="1" ht="88.5" customHeight="1" outlineLevel="1">
      <c r="B1515" s="52" t="s">
        <v>2595</v>
      </c>
      <c r="C1515" s="78" t="s">
        <v>246</v>
      </c>
      <c r="D1515" s="52" t="s">
        <v>339</v>
      </c>
      <c r="E1515" s="56" t="s">
        <v>2596</v>
      </c>
      <c r="F1515" s="56" t="s">
        <v>2596</v>
      </c>
      <c r="G1515" s="56"/>
      <c r="H1515" s="52" t="s">
        <v>243</v>
      </c>
      <c r="I1515" s="52">
        <v>100</v>
      </c>
      <c r="J1515" s="52">
        <v>110000000</v>
      </c>
      <c r="K1515" s="56" t="s">
        <v>125</v>
      </c>
      <c r="L1515" s="53" t="s">
        <v>2429</v>
      </c>
      <c r="M1515" s="56" t="s">
        <v>125</v>
      </c>
      <c r="N1515" s="52"/>
      <c r="O1515" s="53" t="s">
        <v>2176</v>
      </c>
      <c r="P1515" s="53" t="s">
        <v>1524</v>
      </c>
      <c r="Q1515" s="52"/>
      <c r="R1515" s="52"/>
      <c r="S1515" s="54"/>
      <c r="T1515" s="52"/>
      <c r="U1515" s="54">
        <f t="shared" si="95"/>
        <v>89285.71428571429</v>
      </c>
      <c r="V1515" s="54">
        <v>100000</v>
      </c>
      <c r="W1515" s="52"/>
      <c r="X1515" s="52">
        <v>2012</v>
      </c>
      <c r="Y1515" s="52"/>
    </row>
    <row r="1516" spans="2:25" s="55" customFormat="1" ht="76.5">
      <c r="B1516" s="52" t="s">
        <v>2597</v>
      </c>
      <c r="C1516" s="78" t="s">
        <v>246</v>
      </c>
      <c r="D1516" s="58" t="s">
        <v>2598</v>
      </c>
      <c r="E1516" s="56" t="s">
        <v>2599</v>
      </c>
      <c r="F1516" s="56" t="s">
        <v>2599</v>
      </c>
      <c r="G1516" s="52"/>
      <c r="H1516" s="52" t="s">
        <v>243</v>
      </c>
      <c r="I1516" s="52">
        <v>100</v>
      </c>
      <c r="J1516" s="52">
        <v>751000000</v>
      </c>
      <c r="K1516" s="53" t="s">
        <v>2338</v>
      </c>
      <c r="L1516" s="53" t="s">
        <v>1471</v>
      </c>
      <c r="M1516" s="53" t="s">
        <v>2338</v>
      </c>
      <c r="N1516" s="52"/>
      <c r="O1516" s="53" t="s">
        <v>2176</v>
      </c>
      <c r="P1516" s="53" t="s">
        <v>1570</v>
      </c>
      <c r="Q1516" s="52"/>
      <c r="R1516" s="54"/>
      <c r="S1516" s="52"/>
      <c r="T1516" s="54"/>
      <c r="U1516" s="54">
        <f t="shared" si="95"/>
        <v>89285.71428571429</v>
      </c>
      <c r="V1516" s="54">
        <v>100000</v>
      </c>
      <c r="W1516" s="52"/>
      <c r="X1516" s="54">
        <v>2012</v>
      </c>
      <c r="Y1516" s="52"/>
    </row>
    <row r="1517" spans="2:25" s="55" customFormat="1" ht="140.25">
      <c r="B1517" s="52" t="s">
        <v>2911</v>
      </c>
      <c r="C1517" s="78" t="s">
        <v>246</v>
      </c>
      <c r="D1517" s="52" t="s">
        <v>305</v>
      </c>
      <c r="E1517" s="56" t="s">
        <v>2600</v>
      </c>
      <c r="F1517" s="56" t="s">
        <v>2601</v>
      </c>
      <c r="G1517" s="52"/>
      <c r="H1517" s="52" t="s">
        <v>243</v>
      </c>
      <c r="I1517" s="52">
        <v>100</v>
      </c>
      <c r="J1517" s="52">
        <v>751000000</v>
      </c>
      <c r="K1517" s="53" t="s">
        <v>2290</v>
      </c>
      <c r="L1517" s="53" t="s">
        <v>1548</v>
      </c>
      <c r="M1517" s="53" t="s">
        <v>2338</v>
      </c>
      <c r="N1517" s="52"/>
      <c r="O1517" s="53" t="s">
        <v>1755</v>
      </c>
      <c r="P1517" s="53" t="s">
        <v>1475</v>
      </c>
      <c r="Q1517" s="52"/>
      <c r="R1517" s="54"/>
      <c r="S1517" s="52">
        <v>2</v>
      </c>
      <c r="T1517" s="54"/>
      <c r="U1517" s="54">
        <f t="shared" si="95"/>
        <v>0</v>
      </c>
      <c r="V1517" s="54">
        <v>0</v>
      </c>
      <c r="W1517" s="52"/>
      <c r="X1517" s="54">
        <v>2012</v>
      </c>
      <c r="Y1517" s="52">
        <v>7</v>
      </c>
    </row>
    <row r="1518" spans="2:25" s="55" customFormat="1" ht="140.25">
      <c r="B1518" s="52" t="s">
        <v>2912</v>
      </c>
      <c r="C1518" s="78" t="s">
        <v>246</v>
      </c>
      <c r="D1518" s="52" t="s">
        <v>305</v>
      </c>
      <c r="E1518" s="56" t="s">
        <v>2600</v>
      </c>
      <c r="F1518" s="56" t="s">
        <v>2601</v>
      </c>
      <c r="G1518" s="52"/>
      <c r="H1518" s="52" t="s">
        <v>242</v>
      </c>
      <c r="I1518" s="52">
        <v>100</v>
      </c>
      <c r="J1518" s="52">
        <v>751000000</v>
      </c>
      <c r="K1518" s="53" t="s">
        <v>2290</v>
      </c>
      <c r="L1518" s="53" t="s">
        <v>1548</v>
      </c>
      <c r="M1518" s="53" t="s">
        <v>2338</v>
      </c>
      <c r="N1518" s="52"/>
      <c r="O1518" s="53" t="s">
        <v>1755</v>
      </c>
      <c r="P1518" s="53" t="s">
        <v>1475</v>
      </c>
      <c r="Q1518" s="52"/>
      <c r="R1518" s="54"/>
      <c r="S1518" s="52">
        <v>2</v>
      </c>
      <c r="T1518" s="54"/>
      <c r="U1518" s="54">
        <f t="shared" si="95"/>
        <v>2678571.4285714286</v>
      </c>
      <c r="V1518" s="54">
        <v>3000000</v>
      </c>
      <c r="W1518" s="52"/>
      <c r="X1518" s="54">
        <v>2012</v>
      </c>
      <c r="Y1518" s="52"/>
    </row>
    <row r="1519" spans="2:25" s="55" customFormat="1" ht="102">
      <c r="B1519" s="52" t="s">
        <v>2602</v>
      </c>
      <c r="C1519" s="78" t="s">
        <v>246</v>
      </c>
      <c r="D1519" s="52" t="s">
        <v>305</v>
      </c>
      <c r="E1519" s="56" t="s">
        <v>2603</v>
      </c>
      <c r="F1519" s="56" t="s">
        <v>2604</v>
      </c>
      <c r="G1519" s="52"/>
      <c r="H1519" s="52" t="s">
        <v>243</v>
      </c>
      <c r="I1519" s="52">
        <v>100</v>
      </c>
      <c r="J1519" s="52">
        <v>751000000</v>
      </c>
      <c r="K1519" s="53" t="s">
        <v>2338</v>
      </c>
      <c r="L1519" s="53" t="s">
        <v>2605</v>
      </c>
      <c r="M1519" s="53" t="s">
        <v>2338</v>
      </c>
      <c r="N1519" s="52"/>
      <c r="O1519" s="53" t="s">
        <v>1752</v>
      </c>
      <c r="P1519" s="53" t="s">
        <v>1585</v>
      </c>
      <c r="Q1519" s="52"/>
      <c r="R1519" s="54"/>
      <c r="S1519" s="52"/>
      <c r="T1519" s="54"/>
      <c r="U1519" s="54">
        <f>V1519/112*100</f>
        <v>1910714.2857142859</v>
      </c>
      <c r="V1519" s="54">
        <v>2140000</v>
      </c>
      <c r="W1519" s="52"/>
      <c r="X1519" s="54">
        <v>2012</v>
      </c>
      <c r="Y1519" s="52"/>
    </row>
    <row r="1520" spans="2:25" s="55" customFormat="1" ht="178.5">
      <c r="B1520" s="52" t="s">
        <v>2606</v>
      </c>
      <c r="C1520" s="78" t="s">
        <v>246</v>
      </c>
      <c r="D1520" s="52" t="s">
        <v>305</v>
      </c>
      <c r="E1520" s="56" t="s">
        <v>2607</v>
      </c>
      <c r="F1520" s="56" t="s">
        <v>2608</v>
      </c>
      <c r="G1520" s="52"/>
      <c r="H1520" s="52" t="s">
        <v>245</v>
      </c>
      <c r="I1520" s="52">
        <v>100</v>
      </c>
      <c r="J1520" s="52">
        <v>751000000</v>
      </c>
      <c r="K1520" s="53" t="s">
        <v>2338</v>
      </c>
      <c r="L1520" s="53" t="s">
        <v>2384</v>
      </c>
      <c r="M1520" s="53" t="s">
        <v>2338</v>
      </c>
      <c r="N1520" s="52"/>
      <c r="O1520" s="53" t="s">
        <v>2611</v>
      </c>
      <c r="P1520" s="53" t="s">
        <v>1585</v>
      </c>
      <c r="Q1520" s="52"/>
      <c r="R1520" s="54"/>
      <c r="S1520" s="52"/>
      <c r="T1520" s="54"/>
      <c r="U1520" s="54">
        <f t="shared" ref="U1520:U1522" si="96">V1520/112*100</f>
        <v>5357142.8571428573</v>
      </c>
      <c r="V1520" s="54">
        <v>6000000</v>
      </c>
      <c r="W1520" s="52"/>
      <c r="X1520" s="54">
        <v>2012</v>
      </c>
      <c r="Y1520" s="52"/>
    </row>
    <row r="1521" spans="2:26" s="55" customFormat="1" ht="125.25" customHeight="1">
      <c r="B1521" s="52" t="s">
        <v>2729</v>
      </c>
      <c r="C1521" s="78" t="s">
        <v>246</v>
      </c>
      <c r="D1521" s="52" t="s">
        <v>1617</v>
      </c>
      <c r="E1521" s="56" t="s">
        <v>2609</v>
      </c>
      <c r="F1521" s="56" t="s">
        <v>2610</v>
      </c>
      <c r="G1521" s="52"/>
      <c r="H1521" s="52" t="s">
        <v>242</v>
      </c>
      <c r="I1521" s="52">
        <v>50</v>
      </c>
      <c r="J1521" s="52">
        <v>751000000</v>
      </c>
      <c r="K1521" s="53" t="s">
        <v>2338</v>
      </c>
      <c r="L1521" s="53" t="s">
        <v>1555</v>
      </c>
      <c r="M1521" s="53" t="s">
        <v>2338</v>
      </c>
      <c r="N1521" s="52"/>
      <c r="O1521" s="53" t="s">
        <v>2611</v>
      </c>
      <c r="P1521" s="53" t="s">
        <v>1475</v>
      </c>
      <c r="Q1521" s="52"/>
      <c r="R1521" s="54"/>
      <c r="S1521" s="52"/>
      <c r="T1521" s="54"/>
      <c r="U1521" s="54">
        <f t="shared" si="96"/>
        <v>0</v>
      </c>
      <c r="V1521" s="54">
        <v>0</v>
      </c>
      <c r="W1521" s="52"/>
      <c r="X1521" s="54"/>
      <c r="Y1521" s="52">
        <v>21</v>
      </c>
    </row>
    <row r="1522" spans="2:26" s="55" customFormat="1" ht="125.25" customHeight="1">
      <c r="B1522" s="52" t="s">
        <v>2730</v>
      </c>
      <c r="C1522" s="78" t="s">
        <v>246</v>
      </c>
      <c r="D1522" s="52" t="s">
        <v>1617</v>
      </c>
      <c r="E1522" s="56" t="s">
        <v>2609</v>
      </c>
      <c r="F1522" s="56" t="s">
        <v>2610</v>
      </c>
      <c r="G1522" s="52"/>
      <c r="H1522" s="52" t="s">
        <v>242</v>
      </c>
      <c r="I1522" s="52">
        <v>50</v>
      </c>
      <c r="J1522" s="52">
        <v>751000000</v>
      </c>
      <c r="K1522" s="53" t="s">
        <v>2338</v>
      </c>
      <c r="L1522" s="53" t="s">
        <v>1555</v>
      </c>
      <c r="M1522" s="53" t="s">
        <v>2338</v>
      </c>
      <c r="N1522" s="52"/>
      <c r="O1522" s="53" t="s">
        <v>2611</v>
      </c>
      <c r="P1522" s="53" t="s">
        <v>1475</v>
      </c>
      <c r="Q1522" s="52"/>
      <c r="R1522" s="54"/>
      <c r="S1522" s="52"/>
      <c r="T1522" s="54"/>
      <c r="U1522" s="54">
        <f t="shared" si="96"/>
        <v>48410607.142857142</v>
      </c>
      <c r="V1522" s="54">
        <f>56835961-2616081</f>
        <v>54219880</v>
      </c>
      <c r="W1522" s="52"/>
      <c r="X1522" s="54"/>
      <c r="Y1522" s="52"/>
    </row>
    <row r="1523" spans="2:26" s="55" customFormat="1" ht="140.25">
      <c r="B1523" s="52" t="s">
        <v>2913</v>
      </c>
      <c r="C1523" s="78" t="s">
        <v>246</v>
      </c>
      <c r="D1523" s="52" t="s">
        <v>305</v>
      </c>
      <c r="E1523" s="56" t="s">
        <v>2612</v>
      </c>
      <c r="F1523" s="56" t="s">
        <v>2613</v>
      </c>
      <c r="G1523" s="52"/>
      <c r="H1523" s="52" t="s">
        <v>243</v>
      </c>
      <c r="I1523" s="52">
        <v>100</v>
      </c>
      <c r="J1523" s="52">
        <v>751000000</v>
      </c>
      <c r="K1523" s="53" t="s">
        <v>2290</v>
      </c>
      <c r="L1523" s="53" t="s">
        <v>1548</v>
      </c>
      <c r="M1523" s="53" t="s">
        <v>2338</v>
      </c>
      <c r="N1523" s="52"/>
      <c r="O1523" s="53" t="s">
        <v>1755</v>
      </c>
      <c r="P1523" s="53" t="s">
        <v>1475</v>
      </c>
      <c r="Q1523" s="52"/>
      <c r="R1523" s="54"/>
      <c r="S1523" s="52"/>
      <c r="T1523" s="54"/>
      <c r="U1523" s="54">
        <f>V1523/112*100</f>
        <v>0</v>
      </c>
      <c r="V1523" s="54">
        <v>0</v>
      </c>
      <c r="W1523" s="52"/>
      <c r="X1523" s="54">
        <v>2012</v>
      </c>
      <c r="Y1523" s="52">
        <v>7</v>
      </c>
    </row>
    <row r="1524" spans="2:26" s="55" customFormat="1" ht="140.25">
      <c r="B1524" s="52" t="s">
        <v>2914</v>
      </c>
      <c r="C1524" s="78" t="s">
        <v>246</v>
      </c>
      <c r="D1524" s="52" t="s">
        <v>305</v>
      </c>
      <c r="E1524" s="56" t="s">
        <v>2612</v>
      </c>
      <c r="F1524" s="56" t="s">
        <v>2613</v>
      </c>
      <c r="G1524" s="52"/>
      <c r="H1524" s="52" t="s">
        <v>242</v>
      </c>
      <c r="I1524" s="52">
        <v>100</v>
      </c>
      <c r="J1524" s="52">
        <v>751000000</v>
      </c>
      <c r="K1524" s="53" t="s">
        <v>2338</v>
      </c>
      <c r="L1524" s="53" t="s">
        <v>1548</v>
      </c>
      <c r="M1524" s="53" t="s">
        <v>2338</v>
      </c>
      <c r="N1524" s="52"/>
      <c r="O1524" s="53" t="s">
        <v>1755</v>
      </c>
      <c r="P1524" s="53" t="s">
        <v>1475</v>
      </c>
      <c r="Q1524" s="52"/>
      <c r="R1524" s="54"/>
      <c r="S1524" s="52"/>
      <c r="T1524" s="54"/>
      <c r="U1524" s="54">
        <f>V1524/112*100</f>
        <v>1785714.2857142859</v>
      </c>
      <c r="V1524" s="54">
        <v>2000000</v>
      </c>
      <c r="W1524" s="52"/>
      <c r="X1524" s="54">
        <v>2012</v>
      </c>
      <c r="Y1524" s="52"/>
    </row>
    <row r="1525" spans="2:26" s="55" customFormat="1" ht="140.25">
      <c r="B1525" s="52" t="s">
        <v>2915</v>
      </c>
      <c r="C1525" s="78" t="s">
        <v>246</v>
      </c>
      <c r="D1525" s="52" t="s">
        <v>305</v>
      </c>
      <c r="E1525" s="56" t="s">
        <v>2614</v>
      </c>
      <c r="F1525" s="56" t="s">
        <v>2613</v>
      </c>
      <c r="G1525" s="52"/>
      <c r="H1525" s="52" t="s">
        <v>243</v>
      </c>
      <c r="I1525" s="52">
        <v>100</v>
      </c>
      <c r="J1525" s="52">
        <v>751000000</v>
      </c>
      <c r="K1525" s="53" t="s">
        <v>2338</v>
      </c>
      <c r="L1525" s="53" t="s">
        <v>1548</v>
      </c>
      <c r="M1525" s="53" t="s">
        <v>2338</v>
      </c>
      <c r="N1525" s="52"/>
      <c r="O1525" s="53" t="s">
        <v>1755</v>
      </c>
      <c r="P1525" s="53" t="s">
        <v>1475</v>
      </c>
      <c r="Q1525" s="52"/>
      <c r="R1525" s="54"/>
      <c r="S1525" s="52"/>
      <c r="T1525" s="54"/>
      <c r="U1525" s="54">
        <f t="shared" ref="U1525:U1526" si="97">V1525/112*100</f>
        <v>0</v>
      </c>
      <c r="V1525" s="54">
        <v>0</v>
      </c>
      <c r="W1525" s="52"/>
      <c r="X1525" s="54">
        <v>2012</v>
      </c>
      <c r="Y1525" s="52">
        <v>7</v>
      </c>
    </row>
    <row r="1526" spans="2:26" s="55" customFormat="1" ht="140.25">
      <c r="B1526" s="52" t="s">
        <v>2916</v>
      </c>
      <c r="C1526" s="78" t="s">
        <v>246</v>
      </c>
      <c r="D1526" s="52" t="s">
        <v>305</v>
      </c>
      <c r="E1526" s="56" t="s">
        <v>2614</v>
      </c>
      <c r="F1526" s="56" t="s">
        <v>2613</v>
      </c>
      <c r="G1526" s="52"/>
      <c r="H1526" s="52" t="s">
        <v>242</v>
      </c>
      <c r="I1526" s="52">
        <v>100</v>
      </c>
      <c r="J1526" s="52">
        <v>751000000</v>
      </c>
      <c r="K1526" s="53" t="s">
        <v>2338</v>
      </c>
      <c r="L1526" s="53" t="s">
        <v>1548</v>
      </c>
      <c r="M1526" s="53" t="s">
        <v>2338</v>
      </c>
      <c r="N1526" s="52"/>
      <c r="O1526" s="53" t="s">
        <v>1755</v>
      </c>
      <c r="P1526" s="53" t="s">
        <v>1475</v>
      </c>
      <c r="Q1526" s="52"/>
      <c r="R1526" s="54"/>
      <c r="S1526" s="52"/>
      <c r="T1526" s="54"/>
      <c r="U1526" s="54">
        <f t="shared" si="97"/>
        <v>1785714.2857142859</v>
      </c>
      <c r="V1526" s="54">
        <v>2000000</v>
      </c>
      <c r="W1526" s="52"/>
      <c r="X1526" s="54">
        <v>2012</v>
      </c>
      <c r="Y1526" s="52"/>
    </row>
    <row r="1527" spans="2:26" s="55" customFormat="1" ht="114.75">
      <c r="B1527" s="52" t="s">
        <v>2615</v>
      </c>
      <c r="C1527" s="78" t="s">
        <v>246</v>
      </c>
      <c r="D1527" s="52" t="s">
        <v>2616</v>
      </c>
      <c r="E1527" s="56" t="s">
        <v>2617</v>
      </c>
      <c r="F1527" s="56" t="s">
        <v>2618</v>
      </c>
      <c r="G1527" s="56"/>
      <c r="H1527" s="56" t="s">
        <v>243</v>
      </c>
      <c r="I1527" s="82">
        <v>100</v>
      </c>
      <c r="J1527" s="52">
        <v>711000000</v>
      </c>
      <c r="K1527" s="56" t="s">
        <v>151</v>
      </c>
      <c r="L1527" s="81" t="s">
        <v>1471</v>
      </c>
      <c r="M1527" s="53" t="s">
        <v>1816</v>
      </c>
      <c r="N1527" s="52"/>
      <c r="O1527" s="81" t="s">
        <v>1471</v>
      </c>
      <c r="P1527" s="53" t="s">
        <v>1547</v>
      </c>
      <c r="Q1527" s="52"/>
      <c r="R1527" s="52"/>
      <c r="S1527" s="54"/>
      <c r="T1527" s="52"/>
      <c r="U1527" s="54">
        <f t="shared" ref="U1527:U1530" si="98">V1527/112*100</f>
        <v>446428.57142857148</v>
      </c>
      <c r="V1527" s="54">
        <v>500000</v>
      </c>
      <c r="W1527" s="52"/>
      <c r="X1527" s="52">
        <v>2012</v>
      </c>
      <c r="Y1527" s="52"/>
    </row>
    <row r="1528" spans="2:26" s="55" customFormat="1" ht="102">
      <c r="B1528" s="52" t="s">
        <v>2619</v>
      </c>
      <c r="C1528" s="78" t="s">
        <v>246</v>
      </c>
      <c r="D1528" s="69">
        <v>41261</v>
      </c>
      <c r="E1528" s="56" t="s">
        <v>2620</v>
      </c>
      <c r="F1528" s="56" t="s">
        <v>2621</v>
      </c>
      <c r="G1528" s="56"/>
      <c r="H1528" s="56" t="s">
        <v>243</v>
      </c>
      <c r="I1528" s="82">
        <v>80</v>
      </c>
      <c r="J1528" s="52">
        <v>711000000</v>
      </c>
      <c r="K1528" s="56" t="s">
        <v>151</v>
      </c>
      <c r="L1528" s="81" t="s">
        <v>1471</v>
      </c>
      <c r="M1528" s="53" t="s">
        <v>1816</v>
      </c>
      <c r="N1528" s="52"/>
      <c r="O1528" s="81" t="s">
        <v>1471</v>
      </c>
      <c r="P1528" s="53" t="s">
        <v>2622</v>
      </c>
      <c r="Q1528" s="52"/>
      <c r="R1528" s="52"/>
      <c r="S1528" s="54"/>
      <c r="T1528" s="52"/>
      <c r="U1528" s="54">
        <f t="shared" si="98"/>
        <v>383928.57142857142</v>
      </c>
      <c r="V1528" s="54">
        <v>430000</v>
      </c>
      <c r="W1528" s="52"/>
      <c r="X1528" s="52">
        <v>2012</v>
      </c>
      <c r="Y1528" s="52"/>
    </row>
    <row r="1529" spans="2:26" s="55" customFormat="1" ht="51">
      <c r="B1529" s="52" t="s">
        <v>2623</v>
      </c>
      <c r="C1529" s="78" t="s">
        <v>246</v>
      </c>
      <c r="D1529" s="69" t="s">
        <v>2624</v>
      </c>
      <c r="E1529" s="56" t="s">
        <v>2625</v>
      </c>
      <c r="F1529" s="56" t="s">
        <v>2626</v>
      </c>
      <c r="G1529" s="56"/>
      <c r="H1529" s="56" t="s">
        <v>243</v>
      </c>
      <c r="I1529" s="82">
        <v>50</v>
      </c>
      <c r="J1529" s="52">
        <v>711000000</v>
      </c>
      <c r="K1529" s="56" t="s">
        <v>151</v>
      </c>
      <c r="L1529" s="81" t="s">
        <v>1471</v>
      </c>
      <c r="M1529" s="53" t="s">
        <v>1816</v>
      </c>
      <c r="N1529" s="52"/>
      <c r="O1529" s="81" t="s">
        <v>1471</v>
      </c>
      <c r="P1529" s="53" t="s">
        <v>1547</v>
      </c>
      <c r="Q1529" s="52"/>
      <c r="R1529" s="52"/>
      <c r="S1529" s="54"/>
      <c r="T1529" s="52"/>
      <c r="U1529" s="54">
        <f t="shared" si="98"/>
        <v>267857.14285714284</v>
      </c>
      <c r="V1529" s="54">
        <v>300000</v>
      </c>
      <c r="W1529" s="52"/>
      <c r="X1529" s="52">
        <v>2012</v>
      </c>
      <c r="Y1529" s="52"/>
    </row>
    <row r="1530" spans="2:26" s="55" customFormat="1" ht="114.75" outlineLevel="1">
      <c r="B1530" s="52" t="s">
        <v>2627</v>
      </c>
      <c r="C1530" s="78" t="s">
        <v>246</v>
      </c>
      <c r="D1530" s="52" t="s">
        <v>323</v>
      </c>
      <c r="E1530" s="56" t="s">
        <v>2628</v>
      </c>
      <c r="F1530" s="56" t="s">
        <v>2628</v>
      </c>
      <c r="G1530" s="56"/>
      <c r="H1530" s="52" t="s">
        <v>243</v>
      </c>
      <c r="I1530" s="52">
        <v>100</v>
      </c>
      <c r="J1530" s="52">
        <v>510000000</v>
      </c>
      <c r="K1530" s="56" t="s">
        <v>104</v>
      </c>
      <c r="L1530" s="53" t="s">
        <v>1471</v>
      </c>
      <c r="M1530" s="56" t="s">
        <v>104</v>
      </c>
      <c r="N1530" s="52"/>
      <c r="O1530" s="56" t="s">
        <v>2629</v>
      </c>
      <c r="P1530" s="53" t="s">
        <v>2630</v>
      </c>
      <c r="Q1530" s="52"/>
      <c r="R1530" s="52"/>
      <c r="S1530" s="54"/>
      <c r="T1530" s="52"/>
      <c r="U1530" s="54">
        <f t="shared" si="98"/>
        <v>800000</v>
      </c>
      <c r="V1530" s="54">
        <v>896000</v>
      </c>
      <c r="W1530" s="52"/>
      <c r="X1530" s="52">
        <v>2012</v>
      </c>
      <c r="Y1530" s="52"/>
    </row>
    <row r="1531" spans="2:26" s="55" customFormat="1" ht="51" outlineLevel="1">
      <c r="B1531" s="52" t="s">
        <v>2640</v>
      </c>
      <c r="C1531" s="78" t="s">
        <v>246</v>
      </c>
      <c r="D1531" s="52" t="s">
        <v>2641</v>
      </c>
      <c r="E1531" s="56" t="s">
        <v>2642</v>
      </c>
      <c r="F1531" s="53" t="s">
        <v>2643</v>
      </c>
      <c r="G1531" s="53"/>
      <c r="H1531" s="53" t="s">
        <v>243</v>
      </c>
      <c r="I1531" s="52">
        <v>100</v>
      </c>
      <c r="J1531" s="52">
        <v>190000000</v>
      </c>
      <c r="K1531" s="56" t="s">
        <v>117</v>
      </c>
      <c r="L1531" s="53" t="s">
        <v>1471</v>
      </c>
      <c r="M1531" s="56" t="s">
        <v>117</v>
      </c>
      <c r="N1531" s="52"/>
      <c r="O1531" s="53" t="s">
        <v>1471</v>
      </c>
      <c r="P1531" s="53" t="s">
        <v>2000</v>
      </c>
      <c r="Q1531" s="52"/>
      <c r="R1531" s="52"/>
      <c r="S1531" s="54"/>
      <c r="T1531" s="52"/>
      <c r="U1531" s="54">
        <v>80000</v>
      </c>
      <c r="V1531" s="54">
        <v>89600</v>
      </c>
      <c r="W1531" s="52"/>
      <c r="X1531" s="52">
        <v>2012</v>
      </c>
      <c r="Y1531" s="52"/>
      <c r="Z1531" s="171" t="e">
        <f>V1531-'[8]Приложение 1'!#REF!</f>
        <v>#REF!</v>
      </c>
    </row>
    <row r="1532" spans="2:26" s="55" customFormat="1" ht="114.75" outlineLevel="1">
      <c r="B1532" s="52" t="s">
        <v>2644</v>
      </c>
      <c r="C1532" s="78" t="s">
        <v>246</v>
      </c>
      <c r="D1532" s="52" t="s">
        <v>2645</v>
      </c>
      <c r="E1532" s="56" t="s">
        <v>2646</v>
      </c>
      <c r="F1532" s="56" t="s">
        <v>2646</v>
      </c>
      <c r="G1532" s="53"/>
      <c r="H1532" s="53" t="s">
        <v>243</v>
      </c>
      <c r="I1532" s="52">
        <v>100</v>
      </c>
      <c r="J1532" s="52">
        <v>190000000</v>
      </c>
      <c r="K1532" s="56" t="s">
        <v>117</v>
      </c>
      <c r="L1532" s="53" t="s">
        <v>1471</v>
      </c>
      <c r="M1532" s="56" t="s">
        <v>117</v>
      </c>
      <c r="N1532" s="52"/>
      <c r="O1532" s="53" t="s">
        <v>1471</v>
      </c>
      <c r="P1532" s="53" t="s">
        <v>1538</v>
      </c>
      <c r="Q1532" s="52"/>
      <c r="R1532" s="52"/>
      <c r="S1532" s="54"/>
      <c r="T1532" s="52"/>
      <c r="U1532" s="54">
        <f t="shared" ref="U1532:U1535" si="99">V1532/112*100</f>
        <v>12577.678571428571</v>
      </c>
      <c r="V1532" s="68">
        <v>14087</v>
      </c>
      <c r="W1532" s="52"/>
      <c r="X1532" s="52">
        <v>2012</v>
      </c>
      <c r="Y1532" s="52"/>
      <c r="Z1532" s="171" t="e">
        <f>V1532-'[8]Приложение 1'!#REF!</f>
        <v>#REF!</v>
      </c>
    </row>
    <row r="1533" spans="2:26" s="55" customFormat="1" ht="114.75" outlineLevel="1">
      <c r="B1533" s="52" t="s">
        <v>2647</v>
      </c>
      <c r="C1533" s="78" t="s">
        <v>246</v>
      </c>
      <c r="D1533" s="52" t="s">
        <v>2659</v>
      </c>
      <c r="E1533" s="56" t="s">
        <v>2648</v>
      </c>
      <c r="F1533" s="53" t="s">
        <v>2649</v>
      </c>
      <c r="G1533" s="53"/>
      <c r="H1533" s="53" t="s">
        <v>243</v>
      </c>
      <c r="I1533" s="52">
        <v>100</v>
      </c>
      <c r="J1533" s="52">
        <v>190000000</v>
      </c>
      <c r="K1533" s="56" t="s">
        <v>117</v>
      </c>
      <c r="L1533" s="53" t="s">
        <v>1471</v>
      </c>
      <c r="M1533" s="56" t="s">
        <v>117</v>
      </c>
      <c r="N1533" s="52"/>
      <c r="O1533" s="53" t="s">
        <v>1471</v>
      </c>
      <c r="P1533" s="53" t="s">
        <v>1538</v>
      </c>
      <c r="Q1533" s="52"/>
      <c r="R1533" s="52"/>
      <c r="S1533" s="54"/>
      <c r="T1533" s="52"/>
      <c r="U1533" s="54">
        <f t="shared" si="99"/>
        <v>53716.071428571435</v>
      </c>
      <c r="V1533" s="54">
        <v>60162</v>
      </c>
      <c r="W1533" s="52"/>
      <c r="X1533" s="52">
        <v>2012</v>
      </c>
      <c r="Y1533" s="52"/>
      <c r="Z1533" s="171" t="e">
        <f>V1533-'[8]Приложение 1'!#REF!</f>
        <v>#REF!</v>
      </c>
    </row>
    <row r="1534" spans="2:26" s="55" customFormat="1" ht="153" outlineLevel="1">
      <c r="B1534" s="52" t="s">
        <v>2650</v>
      </c>
      <c r="C1534" s="78" t="s">
        <v>246</v>
      </c>
      <c r="D1534" s="52" t="s">
        <v>323</v>
      </c>
      <c r="E1534" s="56" t="s">
        <v>2651</v>
      </c>
      <c r="F1534" s="53" t="s">
        <v>2652</v>
      </c>
      <c r="G1534" s="53"/>
      <c r="H1534" s="53" t="s">
        <v>243</v>
      </c>
      <c r="I1534" s="52">
        <v>100</v>
      </c>
      <c r="J1534" s="52">
        <v>190000000</v>
      </c>
      <c r="K1534" s="56" t="s">
        <v>117</v>
      </c>
      <c r="L1534" s="53" t="s">
        <v>1471</v>
      </c>
      <c r="M1534" s="56" t="s">
        <v>117</v>
      </c>
      <c r="N1534" s="52"/>
      <c r="O1534" s="53" t="s">
        <v>1471</v>
      </c>
      <c r="P1534" s="53" t="s">
        <v>1796</v>
      </c>
      <c r="Q1534" s="52"/>
      <c r="R1534" s="52"/>
      <c r="S1534" s="54"/>
      <c r="T1534" s="52"/>
      <c r="U1534" s="54">
        <f t="shared" si="99"/>
        <v>180159.82142857142</v>
      </c>
      <c r="V1534" s="54">
        <v>201779</v>
      </c>
      <c r="W1534" s="52"/>
      <c r="X1534" s="52">
        <v>2012</v>
      </c>
      <c r="Y1534" s="52"/>
      <c r="Z1534" s="171" t="e">
        <f>V1534-'[8]Приложение 1'!#REF!</f>
        <v>#REF!</v>
      </c>
    </row>
    <row r="1535" spans="2:26" s="55" customFormat="1" ht="108" customHeight="1" outlineLevel="1">
      <c r="B1535" s="52" t="s">
        <v>2653</v>
      </c>
      <c r="C1535" s="78" t="s">
        <v>246</v>
      </c>
      <c r="D1535" s="52" t="s">
        <v>323</v>
      </c>
      <c r="E1535" s="56" t="s">
        <v>2654</v>
      </c>
      <c r="F1535" s="56" t="s">
        <v>2655</v>
      </c>
      <c r="G1535" s="56"/>
      <c r="H1535" s="53" t="s">
        <v>243</v>
      </c>
      <c r="I1535" s="56">
        <v>100</v>
      </c>
      <c r="J1535" s="56">
        <v>190000000</v>
      </c>
      <c r="K1535" s="56" t="s">
        <v>117</v>
      </c>
      <c r="L1535" s="53" t="s">
        <v>1471</v>
      </c>
      <c r="M1535" s="56" t="s">
        <v>117</v>
      </c>
      <c r="N1535" s="52"/>
      <c r="O1535" s="53" t="s">
        <v>1471</v>
      </c>
      <c r="P1535" s="53" t="s">
        <v>1796</v>
      </c>
      <c r="Q1535" s="52"/>
      <c r="R1535" s="52"/>
      <c r="S1535" s="54"/>
      <c r="T1535" s="52"/>
      <c r="U1535" s="54">
        <f t="shared" si="99"/>
        <v>56250</v>
      </c>
      <c r="V1535" s="54">
        <v>63000</v>
      </c>
      <c r="W1535" s="52"/>
      <c r="X1535" s="52">
        <v>2012</v>
      </c>
      <c r="Y1535" s="52"/>
      <c r="Z1535" s="171" t="e">
        <f>V1535-'[8]Приложение 1'!#REF!</f>
        <v>#REF!</v>
      </c>
    </row>
    <row r="1536" spans="2:26" s="55" customFormat="1" ht="51" outlineLevel="1">
      <c r="B1536" s="52" t="s">
        <v>2656</v>
      </c>
      <c r="C1536" s="78" t="s">
        <v>246</v>
      </c>
      <c r="D1536" s="52" t="s">
        <v>2660</v>
      </c>
      <c r="E1536" s="56" t="s">
        <v>2657</v>
      </c>
      <c r="F1536" s="53" t="s">
        <v>2658</v>
      </c>
      <c r="G1536" s="53"/>
      <c r="H1536" s="53" t="s">
        <v>243</v>
      </c>
      <c r="I1536" s="52">
        <v>100</v>
      </c>
      <c r="J1536" s="52">
        <v>190000000</v>
      </c>
      <c r="K1536" s="56" t="s">
        <v>117</v>
      </c>
      <c r="L1536" s="53" t="s">
        <v>1471</v>
      </c>
      <c r="M1536" s="56" t="s">
        <v>117</v>
      </c>
      <c r="N1536" s="52"/>
      <c r="O1536" s="53" t="s">
        <v>1471</v>
      </c>
      <c r="P1536" s="53" t="s">
        <v>2000</v>
      </c>
      <c r="Q1536" s="52"/>
      <c r="R1536" s="52"/>
      <c r="S1536" s="54"/>
      <c r="T1536" s="52"/>
      <c r="U1536" s="54">
        <v>80000</v>
      </c>
      <c r="V1536" s="54">
        <v>89600</v>
      </c>
      <c r="W1536" s="52"/>
      <c r="X1536" s="52">
        <v>2012</v>
      </c>
      <c r="Y1536" s="52"/>
      <c r="Z1536" s="171" t="e">
        <f>V1536-'[8]Приложение 1'!#REF!</f>
        <v>#REF!</v>
      </c>
    </row>
    <row r="1537" spans="2:25" s="155" customFormat="1" ht="102">
      <c r="B1537" s="52" t="s">
        <v>2731</v>
      </c>
      <c r="C1537" s="78" t="s">
        <v>246</v>
      </c>
      <c r="D1537" s="52" t="s">
        <v>2732</v>
      </c>
      <c r="E1537" s="56" t="s">
        <v>188</v>
      </c>
      <c r="F1537" s="56" t="s">
        <v>2733</v>
      </c>
      <c r="G1537" s="187"/>
      <c r="H1537" s="52" t="s">
        <v>243</v>
      </c>
      <c r="I1537" s="52">
        <v>100</v>
      </c>
      <c r="J1537" s="52">
        <v>510000000</v>
      </c>
      <c r="K1537" s="56" t="s">
        <v>104</v>
      </c>
      <c r="L1537" s="53" t="s">
        <v>2734</v>
      </c>
      <c r="M1537" s="56" t="s">
        <v>1675</v>
      </c>
      <c r="N1537" s="187"/>
      <c r="O1537" s="53" t="s">
        <v>2611</v>
      </c>
      <c r="P1537" s="53" t="s">
        <v>1496</v>
      </c>
      <c r="Q1537" s="52"/>
      <c r="R1537" s="52"/>
      <c r="S1537" s="54"/>
      <c r="T1537" s="52"/>
      <c r="U1537" s="54">
        <f t="shared" ref="U1537:U1575" si="100">V1537/112*100</f>
        <v>223214.28571428574</v>
      </c>
      <c r="V1537" s="54">
        <v>250000</v>
      </c>
      <c r="W1537" s="52"/>
      <c r="X1537" s="52">
        <v>2012</v>
      </c>
      <c r="Y1537" s="52"/>
    </row>
    <row r="1538" spans="2:25" s="55" customFormat="1" ht="102" outlineLevel="1">
      <c r="B1538" s="52" t="s">
        <v>2735</v>
      </c>
      <c r="C1538" s="78" t="s">
        <v>246</v>
      </c>
      <c r="D1538" s="52" t="s">
        <v>2736</v>
      </c>
      <c r="E1538" s="56" t="s">
        <v>2737</v>
      </c>
      <c r="F1538" s="56" t="s">
        <v>2737</v>
      </c>
      <c r="G1538" s="53"/>
      <c r="H1538" s="52" t="s">
        <v>243</v>
      </c>
      <c r="I1538" s="52">
        <v>90</v>
      </c>
      <c r="J1538" s="52">
        <v>150000000</v>
      </c>
      <c r="K1538" s="56" t="s">
        <v>126</v>
      </c>
      <c r="L1538" s="53" t="s">
        <v>1463</v>
      </c>
      <c r="M1538" s="56" t="s">
        <v>126</v>
      </c>
      <c r="N1538" s="52"/>
      <c r="O1538" s="53" t="s">
        <v>2611</v>
      </c>
      <c r="P1538" s="53" t="s">
        <v>1491</v>
      </c>
      <c r="Q1538" s="52"/>
      <c r="R1538" s="52"/>
      <c r="S1538" s="54"/>
      <c r="T1538" s="52"/>
      <c r="U1538" s="54">
        <f t="shared" si="100"/>
        <v>705357.14285714284</v>
      </c>
      <c r="V1538" s="54">
        <v>790000</v>
      </c>
      <c r="W1538" s="52"/>
      <c r="X1538" s="52">
        <v>2012</v>
      </c>
      <c r="Y1538" s="52"/>
    </row>
    <row r="1539" spans="2:25" s="55" customFormat="1" ht="127.5" outlineLevel="1">
      <c r="B1539" s="52" t="s">
        <v>2738</v>
      </c>
      <c r="C1539" s="78" t="s">
        <v>246</v>
      </c>
      <c r="D1539" s="52" t="s">
        <v>309</v>
      </c>
      <c r="E1539" s="56" t="s">
        <v>217</v>
      </c>
      <c r="F1539" s="56" t="s">
        <v>217</v>
      </c>
      <c r="G1539" s="56"/>
      <c r="H1539" s="52" t="s">
        <v>243</v>
      </c>
      <c r="I1539" s="52">
        <v>100</v>
      </c>
      <c r="J1539" s="52">
        <v>110000000</v>
      </c>
      <c r="K1539" s="56" t="s">
        <v>125</v>
      </c>
      <c r="L1539" s="53" t="s">
        <v>2719</v>
      </c>
      <c r="M1539" s="56" t="s">
        <v>125</v>
      </c>
      <c r="N1539" s="52"/>
      <c r="O1539" s="53" t="s">
        <v>2611</v>
      </c>
      <c r="P1539" s="53" t="s">
        <v>1475</v>
      </c>
      <c r="Q1539" s="52"/>
      <c r="R1539" s="52"/>
      <c r="S1539" s="54">
        <v>2</v>
      </c>
      <c r="T1539" s="52"/>
      <c r="U1539" s="54">
        <f t="shared" si="100"/>
        <v>535714.28571428568</v>
      </c>
      <c r="V1539" s="54">
        <v>600000</v>
      </c>
      <c r="W1539" s="52"/>
      <c r="X1539" s="52">
        <v>2012</v>
      </c>
      <c r="Y1539" s="52"/>
    </row>
    <row r="1540" spans="2:25" s="55" customFormat="1" ht="127.5" outlineLevel="1">
      <c r="B1540" s="52" t="s">
        <v>2739</v>
      </c>
      <c r="C1540" s="78" t="s">
        <v>246</v>
      </c>
      <c r="D1540" s="52" t="s">
        <v>309</v>
      </c>
      <c r="E1540" s="56" t="s">
        <v>217</v>
      </c>
      <c r="F1540" s="56" t="s">
        <v>217</v>
      </c>
      <c r="G1540" s="56"/>
      <c r="H1540" s="52" t="s">
        <v>243</v>
      </c>
      <c r="I1540" s="52">
        <v>100</v>
      </c>
      <c r="J1540" s="52">
        <v>150000000</v>
      </c>
      <c r="K1540" s="56" t="s">
        <v>126</v>
      </c>
      <c r="L1540" s="53" t="s">
        <v>2719</v>
      </c>
      <c r="M1540" s="56" t="s">
        <v>126</v>
      </c>
      <c r="N1540" s="52"/>
      <c r="O1540" s="53" t="s">
        <v>2611</v>
      </c>
      <c r="P1540" s="53" t="s">
        <v>1475</v>
      </c>
      <c r="Q1540" s="52"/>
      <c r="R1540" s="52"/>
      <c r="S1540" s="54">
        <v>2</v>
      </c>
      <c r="T1540" s="52"/>
      <c r="U1540" s="54">
        <f t="shared" si="100"/>
        <v>535714.28571428568</v>
      </c>
      <c r="V1540" s="54">
        <v>600000</v>
      </c>
      <c r="W1540" s="52"/>
      <c r="X1540" s="52">
        <v>2012</v>
      </c>
      <c r="Y1540" s="52"/>
    </row>
    <row r="1541" spans="2:25" s="55" customFormat="1" ht="127.5" outlineLevel="1">
      <c r="B1541" s="52" t="s">
        <v>2740</v>
      </c>
      <c r="C1541" s="78" t="s">
        <v>246</v>
      </c>
      <c r="D1541" s="52" t="s">
        <v>309</v>
      </c>
      <c r="E1541" s="56" t="s">
        <v>217</v>
      </c>
      <c r="F1541" s="56" t="s">
        <v>217</v>
      </c>
      <c r="G1541" s="56"/>
      <c r="H1541" s="52" t="s">
        <v>243</v>
      </c>
      <c r="I1541" s="52">
        <v>100</v>
      </c>
      <c r="J1541" s="52">
        <v>190000000</v>
      </c>
      <c r="K1541" s="56" t="s">
        <v>117</v>
      </c>
      <c r="L1541" s="53" t="s">
        <v>2719</v>
      </c>
      <c r="M1541" s="56" t="s">
        <v>117</v>
      </c>
      <c r="N1541" s="52"/>
      <c r="O1541" s="53" t="s">
        <v>2611</v>
      </c>
      <c r="P1541" s="53" t="s">
        <v>1475</v>
      </c>
      <c r="Q1541" s="52"/>
      <c r="R1541" s="52"/>
      <c r="S1541" s="54">
        <v>2</v>
      </c>
      <c r="T1541" s="52"/>
      <c r="U1541" s="54">
        <f t="shared" si="100"/>
        <v>535714.28571428568</v>
      </c>
      <c r="V1541" s="54">
        <v>600000</v>
      </c>
      <c r="W1541" s="52"/>
      <c r="X1541" s="52">
        <v>2012</v>
      </c>
      <c r="Y1541" s="52"/>
    </row>
    <row r="1542" spans="2:25" s="55" customFormat="1" ht="127.5" outlineLevel="1">
      <c r="B1542" s="52" t="s">
        <v>2741</v>
      </c>
      <c r="C1542" s="78" t="s">
        <v>246</v>
      </c>
      <c r="D1542" s="52" t="s">
        <v>309</v>
      </c>
      <c r="E1542" s="56" t="s">
        <v>217</v>
      </c>
      <c r="F1542" s="56" t="s">
        <v>217</v>
      </c>
      <c r="G1542" s="56"/>
      <c r="H1542" s="52" t="s">
        <v>243</v>
      </c>
      <c r="I1542" s="52">
        <v>100</v>
      </c>
      <c r="J1542" s="52">
        <v>751000000</v>
      </c>
      <c r="K1542" s="63" t="s">
        <v>1437</v>
      </c>
      <c r="L1542" s="53" t="s">
        <v>2719</v>
      </c>
      <c r="M1542" s="63" t="s">
        <v>1437</v>
      </c>
      <c r="N1542" s="52"/>
      <c r="O1542" s="53" t="s">
        <v>2611</v>
      </c>
      <c r="P1542" s="53" t="s">
        <v>1475</v>
      </c>
      <c r="Q1542" s="52"/>
      <c r="R1542" s="52"/>
      <c r="S1542" s="54">
        <v>2</v>
      </c>
      <c r="T1542" s="52"/>
      <c r="U1542" s="54">
        <f t="shared" si="100"/>
        <v>1071428.5714285714</v>
      </c>
      <c r="V1542" s="54">
        <v>1200000</v>
      </c>
      <c r="W1542" s="52"/>
      <c r="X1542" s="52">
        <v>2012</v>
      </c>
      <c r="Y1542" s="52"/>
    </row>
    <row r="1543" spans="2:25" s="55" customFormat="1" ht="127.5" outlineLevel="1">
      <c r="B1543" s="52" t="s">
        <v>2742</v>
      </c>
      <c r="C1543" s="78" t="s">
        <v>246</v>
      </c>
      <c r="D1543" s="52" t="s">
        <v>309</v>
      </c>
      <c r="E1543" s="56" t="s">
        <v>217</v>
      </c>
      <c r="F1543" s="56" t="s">
        <v>217</v>
      </c>
      <c r="G1543" s="56"/>
      <c r="H1543" s="52" t="s">
        <v>243</v>
      </c>
      <c r="I1543" s="52">
        <v>100</v>
      </c>
      <c r="J1543" s="52">
        <v>711000000</v>
      </c>
      <c r="K1543" s="56" t="s">
        <v>151</v>
      </c>
      <c r="L1543" s="53" t="s">
        <v>2719</v>
      </c>
      <c r="M1543" s="53" t="s">
        <v>1816</v>
      </c>
      <c r="N1543" s="52"/>
      <c r="O1543" s="53" t="s">
        <v>2611</v>
      </c>
      <c r="P1543" s="53" t="s">
        <v>1475</v>
      </c>
      <c r="Q1543" s="52"/>
      <c r="R1543" s="52"/>
      <c r="S1543" s="54">
        <v>2</v>
      </c>
      <c r="T1543" s="52"/>
      <c r="U1543" s="54">
        <f t="shared" si="100"/>
        <v>1071428.5714285714</v>
      </c>
      <c r="V1543" s="54">
        <v>1200000</v>
      </c>
      <c r="W1543" s="52"/>
      <c r="X1543" s="52">
        <v>2012</v>
      </c>
      <c r="Y1543" s="52"/>
    </row>
    <row r="1544" spans="2:25" s="55" customFormat="1" ht="127.5" outlineLevel="1">
      <c r="B1544" s="52" t="s">
        <v>2743</v>
      </c>
      <c r="C1544" s="78" t="s">
        <v>246</v>
      </c>
      <c r="D1544" s="52" t="s">
        <v>309</v>
      </c>
      <c r="E1544" s="56" t="s">
        <v>217</v>
      </c>
      <c r="F1544" s="56" t="s">
        <v>217</v>
      </c>
      <c r="G1544" s="56"/>
      <c r="H1544" s="52" t="s">
        <v>243</v>
      </c>
      <c r="I1544" s="52">
        <v>100</v>
      </c>
      <c r="J1544" s="52">
        <v>230000000</v>
      </c>
      <c r="K1544" s="56" t="s">
        <v>118</v>
      </c>
      <c r="L1544" s="53" t="s">
        <v>2719</v>
      </c>
      <c r="M1544" s="56" t="s">
        <v>118</v>
      </c>
      <c r="N1544" s="52"/>
      <c r="O1544" s="53" t="s">
        <v>2611</v>
      </c>
      <c r="P1544" s="53" t="s">
        <v>1475</v>
      </c>
      <c r="Q1544" s="52"/>
      <c r="R1544" s="52"/>
      <c r="S1544" s="54">
        <v>2</v>
      </c>
      <c r="T1544" s="52"/>
      <c r="U1544" s="54">
        <f t="shared" si="100"/>
        <v>535714.28571428568</v>
      </c>
      <c r="V1544" s="54">
        <v>600000</v>
      </c>
      <c r="W1544" s="52"/>
      <c r="X1544" s="52">
        <v>2012</v>
      </c>
      <c r="Y1544" s="52"/>
    </row>
    <row r="1545" spans="2:25" s="55" customFormat="1" ht="127.5" outlineLevel="1">
      <c r="B1545" s="52" t="s">
        <v>2744</v>
      </c>
      <c r="C1545" s="78" t="s">
        <v>246</v>
      </c>
      <c r="D1545" s="52" t="s">
        <v>309</v>
      </c>
      <c r="E1545" s="56" t="s">
        <v>217</v>
      </c>
      <c r="F1545" s="56" t="s">
        <v>217</v>
      </c>
      <c r="G1545" s="56"/>
      <c r="H1545" s="52" t="s">
        <v>243</v>
      </c>
      <c r="I1545" s="52">
        <v>100</v>
      </c>
      <c r="J1545" s="52">
        <v>630000000</v>
      </c>
      <c r="K1545" s="56" t="s">
        <v>97</v>
      </c>
      <c r="L1545" s="53" t="s">
        <v>2719</v>
      </c>
      <c r="M1545" s="56" t="s">
        <v>97</v>
      </c>
      <c r="N1545" s="52"/>
      <c r="O1545" s="53" t="s">
        <v>2611</v>
      </c>
      <c r="P1545" s="53" t="s">
        <v>1475</v>
      </c>
      <c r="Q1545" s="52"/>
      <c r="R1545" s="52"/>
      <c r="S1545" s="54">
        <v>2</v>
      </c>
      <c r="T1545" s="52"/>
      <c r="U1545" s="54">
        <f t="shared" si="100"/>
        <v>535714.28571428568</v>
      </c>
      <c r="V1545" s="54">
        <v>600000</v>
      </c>
      <c r="W1545" s="52"/>
      <c r="X1545" s="52">
        <v>2012</v>
      </c>
      <c r="Y1545" s="52"/>
    </row>
    <row r="1546" spans="2:25" s="55" customFormat="1" ht="127.5" outlineLevel="1">
      <c r="B1546" s="52" t="s">
        <v>2745</v>
      </c>
      <c r="C1546" s="78" t="s">
        <v>246</v>
      </c>
      <c r="D1546" s="52" t="s">
        <v>309</v>
      </c>
      <c r="E1546" s="56" t="s">
        <v>217</v>
      </c>
      <c r="F1546" s="56" t="s">
        <v>217</v>
      </c>
      <c r="G1546" s="56"/>
      <c r="H1546" s="52" t="s">
        <v>243</v>
      </c>
      <c r="I1546" s="52">
        <v>100</v>
      </c>
      <c r="J1546" s="52">
        <v>310000000</v>
      </c>
      <c r="K1546" s="56" t="s">
        <v>119</v>
      </c>
      <c r="L1546" s="53" t="s">
        <v>2719</v>
      </c>
      <c r="M1546" s="56" t="s">
        <v>119</v>
      </c>
      <c r="N1546" s="52"/>
      <c r="O1546" s="53" t="s">
        <v>2611</v>
      </c>
      <c r="P1546" s="53" t="s">
        <v>1475</v>
      </c>
      <c r="Q1546" s="52"/>
      <c r="R1546" s="52"/>
      <c r="S1546" s="54">
        <v>2</v>
      </c>
      <c r="T1546" s="52"/>
      <c r="U1546" s="54">
        <f t="shared" si="100"/>
        <v>535714.28571428568</v>
      </c>
      <c r="V1546" s="54">
        <v>600000</v>
      </c>
      <c r="W1546" s="52"/>
      <c r="X1546" s="52">
        <v>2012</v>
      </c>
      <c r="Y1546" s="52"/>
    </row>
    <row r="1547" spans="2:25" s="55" customFormat="1" ht="127.5" outlineLevel="1">
      <c r="B1547" s="52" t="s">
        <v>2746</v>
      </c>
      <c r="C1547" s="78" t="s">
        <v>246</v>
      </c>
      <c r="D1547" s="52" t="s">
        <v>309</v>
      </c>
      <c r="E1547" s="56" t="s">
        <v>217</v>
      </c>
      <c r="F1547" s="56" t="s">
        <v>217</v>
      </c>
      <c r="G1547" s="56"/>
      <c r="H1547" s="52" t="s">
        <v>243</v>
      </c>
      <c r="I1547" s="52">
        <v>100</v>
      </c>
      <c r="J1547" s="52">
        <v>270000000</v>
      </c>
      <c r="K1547" s="56" t="s">
        <v>98</v>
      </c>
      <c r="L1547" s="53" t="s">
        <v>2719</v>
      </c>
      <c r="M1547" s="56" t="s">
        <v>98</v>
      </c>
      <c r="N1547" s="52"/>
      <c r="O1547" s="53" t="s">
        <v>2611</v>
      </c>
      <c r="P1547" s="53" t="s">
        <v>1475</v>
      </c>
      <c r="Q1547" s="52"/>
      <c r="R1547" s="52"/>
      <c r="S1547" s="54">
        <v>2</v>
      </c>
      <c r="T1547" s="52"/>
      <c r="U1547" s="54">
        <f t="shared" si="100"/>
        <v>535714.28571428568</v>
      </c>
      <c r="V1547" s="54">
        <v>600000</v>
      </c>
      <c r="W1547" s="52"/>
      <c r="X1547" s="52">
        <v>2012</v>
      </c>
      <c r="Y1547" s="52"/>
    </row>
    <row r="1548" spans="2:25" s="55" customFormat="1" ht="127.5" outlineLevel="1">
      <c r="B1548" s="52" t="s">
        <v>2747</v>
      </c>
      <c r="C1548" s="78" t="s">
        <v>246</v>
      </c>
      <c r="D1548" s="52" t="s">
        <v>309</v>
      </c>
      <c r="E1548" s="56" t="s">
        <v>217</v>
      </c>
      <c r="F1548" s="56" t="s">
        <v>217</v>
      </c>
      <c r="G1548" s="56"/>
      <c r="H1548" s="52" t="s">
        <v>243</v>
      </c>
      <c r="I1548" s="52">
        <v>100</v>
      </c>
      <c r="J1548" s="52">
        <v>350000000</v>
      </c>
      <c r="K1548" s="56" t="s">
        <v>120</v>
      </c>
      <c r="L1548" s="53" t="s">
        <v>2719</v>
      </c>
      <c r="M1548" s="56" t="s">
        <v>120</v>
      </c>
      <c r="N1548" s="52"/>
      <c r="O1548" s="53" t="s">
        <v>2611</v>
      </c>
      <c r="P1548" s="53" t="s">
        <v>1475</v>
      </c>
      <c r="Q1548" s="52"/>
      <c r="R1548" s="52"/>
      <c r="S1548" s="54">
        <v>2</v>
      </c>
      <c r="T1548" s="52"/>
      <c r="U1548" s="54">
        <f t="shared" si="100"/>
        <v>535714.28571428568</v>
      </c>
      <c r="V1548" s="54">
        <v>600000</v>
      </c>
      <c r="W1548" s="52"/>
      <c r="X1548" s="52">
        <v>2012</v>
      </c>
      <c r="Y1548" s="52"/>
    </row>
    <row r="1549" spans="2:25" s="55" customFormat="1" ht="127.5" outlineLevel="1">
      <c r="B1549" s="52" t="s">
        <v>2748</v>
      </c>
      <c r="C1549" s="78" t="s">
        <v>246</v>
      </c>
      <c r="D1549" s="52" t="s">
        <v>309</v>
      </c>
      <c r="E1549" s="56" t="s">
        <v>217</v>
      </c>
      <c r="F1549" s="56" t="s">
        <v>217</v>
      </c>
      <c r="G1549" s="56"/>
      <c r="H1549" s="52" t="s">
        <v>243</v>
      </c>
      <c r="I1549" s="52">
        <v>100</v>
      </c>
      <c r="J1549" s="52">
        <v>390000000</v>
      </c>
      <c r="K1549" s="56" t="s">
        <v>121</v>
      </c>
      <c r="L1549" s="53" t="s">
        <v>2719</v>
      </c>
      <c r="M1549" s="56" t="s">
        <v>121</v>
      </c>
      <c r="N1549" s="52"/>
      <c r="O1549" s="53" t="s">
        <v>2611</v>
      </c>
      <c r="P1549" s="53" t="s">
        <v>1475</v>
      </c>
      <c r="Q1549" s="52"/>
      <c r="R1549" s="52"/>
      <c r="S1549" s="54">
        <v>2</v>
      </c>
      <c r="T1549" s="52"/>
      <c r="U1549" s="54">
        <f t="shared" si="100"/>
        <v>535714.28571428568</v>
      </c>
      <c r="V1549" s="54">
        <v>600000</v>
      </c>
      <c r="W1549" s="52"/>
      <c r="X1549" s="52">
        <v>2012</v>
      </c>
      <c r="Y1549" s="52"/>
    </row>
    <row r="1550" spans="2:25" s="55" customFormat="1" ht="127.5" outlineLevel="1">
      <c r="B1550" s="52" t="s">
        <v>2749</v>
      </c>
      <c r="C1550" s="78" t="s">
        <v>246</v>
      </c>
      <c r="D1550" s="52" t="s">
        <v>309</v>
      </c>
      <c r="E1550" s="56" t="s">
        <v>217</v>
      </c>
      <c r="F1550" s="56" t="s">
        <v>217</v>
      </c>
      <c r="G1550" s="56"/>
      <c r="H1550" s="52" t="s">
        <v>243</v>
      </c>
      <c r="I1550" s="52">
        <v>100</v>
      </c>
      <c r="J1550" s="52">
        <v>430000000</v>
      </c>
      <c r="K1550" s="56" t="s">
        <v>122</v>
      </c>
      <c r="L1550" s="53" t="s">
        <v>2719</v>
      </c>
      <c r="M1550" s="56" t="s">
        <v>122</v>
      </c>
      <c r="N1550" s="52"/>
      <c r="O1550" s="53" t="s">
        <v>2611</v>
      </c>
      <c r="P1550" s="53" t="s">
        <v>1475</v>
      </c>
      <c r="Q1550" s="52"/>
      <c r="R1550" s="52"/>
      <c r="S1550" s="54">
        <v>2</v>
      </c>
      <c r="T1550" s="52"/>
      <c r="U1550" s="54">
        <f t="shared" si="100"/>
        <v>535714.28571428568</v>
      </c>
      <c r="V1550" s="54">
        <v>600000</v>
      </c>
      <c r="W1550" s="52"/>
      <c r="X1550" s="52">
        <v>2012</v>
      </c>
      <c r="Y1550" s="52"/>
    </row>
    <row r="1551" spans="2:25" s="55" customFormat="1" ht="127.5" outlineLevel="1">
      <c r="B1551" s="52" t="s">
        <v>2750</v>
      </c>
      <c r="C1551" s="78" t="s">
        <v>246</v>
      </c>
      <c r="D1551" s="52" t="s">
        <v>309</v>
      </c>
      <c r="E1551" s="56" t="s">
        <v>217</v>
      </c>
      <c r="F1551" s="56" t="s">
        <v>217</v>
      </c>
      <c r="G1551" s="56"/>
      <c r="H1551" s="52" t="s">
        <v>243</v>
      </c>
      <c r="I1551" s="52">
        <v>100</v>
      </c>
      <c r="J1551" s="52">
        <v>470000000</v>
      </c>
      <c r="K1551" s="56" t="s">
        <v>123</v>
      </c>
      <c r="L1551" s="53" t="s">
        <v>2719</v>
      </c>
      <c r="M1551" s="56" t="s">
        <v>123</v>
      </c>
      <c r="N1551" s="52"/>
      <c r="O1551" s="53" t="s">
        <v>2611</v>
      </c>
      <c r="P1551" s="53" t="s">
        <v>1475</v>
      </c>
      <c r="Q1551" s="52"/>
      <c r="R1551" s="52"/>
      <c r="S1551" s="54">
        <v>2</v>
      </c>
      <c r="T1551" s="52"/>
      <c r="U1551" s="54">
        <f t="shared" si="100"/>
        <v>535714.28571428568</v>
      </c>
      <c r="V1551" s="54">
        <v>600000</v>
      </c>
      <c r="W1551" s="52"/>
      <c r="X1551" s="52">
        <v>2012</v>
      </c>
      <c r="Y1551" s="52"/>
    </row>
    <row r="1552" spans="2:25" s="55" customFormat="1" ht="127.5" outlineLevel="1">
      <c r="B1552" s="52" t="s">
        <v>2751</v>
      </c>
      <c r="C1552" s="78" t="s">
        <v>246</v>
      </c>
      <c r="D1552" s="52" t="s">
        <v>309</v>
      </c>
      <c r="E1552" s="56" t="s">
        <v>217</v>
      </c>
      <c r="F1552" s="56" t="s">
        <v>217</v>
      </c>
      <c r="G1552" s="56"/>
      <c r="H1552" s="52" t="s">
        <v>243</v>
      </c>
      <c r="I1552" s="52">
        <v>100</v>
      </c>
      <c r="J1552" s="52">
        <v>550000000</v>
      </c>
      <c r="K1552" s="56" t="s">
        <v>124</v>
      </c>
      <c r="L1552" s="53" t="s">
        <v>2719</v>
      </c>
      <c r="M1552" s="56" t="s">
        <v>124</v>
      </c>
      <c r="N1552" s="52"/>
      <c r="O1552" s="53" t="s">
        <v>2611</v>
      </c>
      <c r="P1552" s="53" t="s">
        <v>1475</v>
      </c>
      <c r="Q1552" s="52"/>
      <c r="R1552" s="52"/>
      <c r="S1552" s="54">
        <v>2</v>
      </c>
      <c r="T1552" s="52"/>
      <c r="U1552" s="54">
        <f t="shared" si="100"/>
        <v>535714.28571428568</v>
      </c>
      <c r="V1552" s="54">
        <v>600000</v>
      </c>
      <c r="W1552" s="52"/>
      <c r="X1552" s="52">
        <v>2012</v>
      </c>
      <c r="Y1552" s="52"/>
    </row>
    <row r="1553" spans="2:25" s="55" customFormat="1" ht="127.5" outlineLevel="1">
      <c r="B1553" s="52" t="s">
        <v>2752</v>
      </c>
      <c r="C1553" s="78" t="s">
        <v>246</v>
      </c>
      <c r="D1553" s="52" t="s">
        <v>309</v>
      </c>
      <c r="E1553" s="56" t="s">
        <v>217</v>
      </c>
      <c r="F1553" s="56" t="s">
        <v>217</v>
      </c>
      <c r="G1553" s="56"/>
      <c r="H1553" s="52" t="s">
        <v>243</v>
      </c>
      <c r="I1553" s="52">
        <v>100</v>
      </c>
      <c r="J1553" s="52">
        <v>590000000</v>
      </c>
      <c r="K1553" s="56" t="s">
        <v>103</v>
      </c>
      <c r="L1553" s="53" t="s">
        <v>2719</v>
      </c>
      <c r="M1553" s="56" t="s">
        <v>103</v>
      </c>
      <c r="N1553" s="52"/>
      <c r="O1553" s="53" t="s">
        <v>2611</v>
      </c>
      <c r="P1553" s="53" t="s">
        <v>1475</v>
      </c>
      <c r="Q1553" s="52"/>
      <c r="R1553" s="52"/>
      <c r="S1553" s="54">
        <v>2</v>
      </c>
      <c r="T1553" s="52"/>
      <c r="U1553" s="54">
        <f t="shared" si="100"/>
        <v>535714.28571428568</v>
      </c>
      <c r="V1553" s="54">
        <v>600000</v>
      </c>
      <c r="W1553" s="52"/>
      <c r="X1553" s="52">
        <v>2012</v>
      </c>
      <c r="Y1553" s="52"/>
    </row>
    <row r="1554" spans="2:25" s="55" customFormat="1" ht="127.5" outlineLevel="1">
      <c r="B1554" s="52" t="s">
        <v>2753</v>
      </c>
      <c r="C1554" s="78" t="s">
        <v>246</v>
      </c>
      <c r="D1554" s="52" t="s">
        <v>309</v>
      </c>
      <c r="E1554" s="56" t="s">
        <v>217</v>
      </c>
      <c r="F1554" s="56" t="s">
        <v>217</v>
      </c>
      <c r="G1554" s="56"/>
      <c r="H1554" s="52" t="s">
        <v>243</v>
      </c>
      <c r="I1554" s="52">
        <v>100</v>
      </c>
      <c r="J1554" s="52">
        <v>510000000</v>
      </c>
      <c r="K1554" s="56" t="s">
        <v>104</v>
      </c>
      <c r="L1554" s="53" t="s">
        <v>2719</v>
      </c>
      <c r="M1554" s="56" t="s">
        <v>104</v>
      </c>
      <c r="N1554" s="52"/>
      <c r="O1554" s="53" t="s">
        <v>2611</v>
      </c>
      <c r="P1554" s="53" t="s">
        <v>1475</v>
      </c>
      <c r="Q1554" s="52"/>
      <c r="R1554" s="52"/>
      <c r="S1554" s="54">
        <v>2</v>
      </c>
      <c r="T1554" s="52"/>
      <c r="U1554" s="54">
        <f t="shared" si="100"/>
        <v>535714.28571428568</v>
      </c>
      <c r="V1554" s="54">
        <v>600000</v>
      </c>
      <c r="W1554" s="52"/>
      <c r="X1554" s="52">
        <v>2012</v>
      </c>
      <c r="Y1554" s="52"/>
    </row>
    <row r="1555" spans="2:25" s="55" customFormat="1" ht="280.5" outlineLevel="1">
      <c r="B1555" s="52" t="s">
        <v>2754</v>
      </c>
      <c r="C1555" s="78" t="s">
        <v>246</v>
      </c>
      <c r="D1555" s="77">
        <v>41261</v>
      </c>
      <c r="E1555" s="56" t="s">
        <v>2755</v>
      </c>
      <c r="F1555" s="56" t="s">
        <v>2756</v>
      </c>
      <c r="G1555" s="56"/>
      <c r="H1555" s="52" t="s">
        <v>243</v>
      </c>
      <c r="I1555" s="52">
        <v>80</v>
      </c>
      <c r="J1555" s="52">
        <v>751000000</v>
      </c>
      <c r="K1555" s="53" t="s">
        <v>2290</v>
      </c>
      <c r="L1555" s="53" t="s">
        <v>2719</v>
      </c>
      <c r="M1555" s="53" t="s">
        <v>2290</v>
      </c>
      <c r="N1555" s="52"/>
      <c r="O1555" s="53" t="s">
        <v>2611</v>
      </c>
      <c r="P1555" s="53" t="s">
        <v>1567</v>
      </c>
      <c r="Q1555" s="52"/>
      <c r="R1555" s="52"/>
      <c r="S1555" s="54">
        <v>15</v>
      </c>
      <c r="T1555" s="52"/>
      <c r="U1555" s="54">
        <f t="shared" si="100"/>
        <v>2678571.4285714286</v>
      </c>
      <c r="V1555" s="54">
        <v>3000000</v>
      </c>
      <c r="W1555" s="52"/>
      <c r="X1555" s="52">
        <v>2012</v>
      </c>
      <c r="Y1555" s="52" t="s">
        <v>1754</v>
      </c>
    </row>
    <row r="1556" spans="2:25" s="55" customFormat="1" ht="127.5" outlineLevel="1">
      <c r="B1556" s="52" t="s">
        <v>2757</v>
      </c>
      <c r="C1556" s="78" t="s">
        <v>246</v>
      </c>
      <c r="D1556" s="52" t="s">
        <v>338</v>
      </c>
      <c r="E1556" s="56" t="s">
        <v>1847</v>
      </c>
      <c r="F1556" s="56" t="s">
        <v>1847</v>
      </c>
      <c r="G1556" s="56"/>
      <c r="H1556" s="52" t="s">
        <v>243</v>
      </c>
      <c r="I1556" s="52">
        <v>100</v>
      </c>
      <c r="J1556" s="52">
        <v>110000000</v>
      </c>
      <c r="K1556" s="56" t="s">
        <v>125</v>
      </c>
      <c r="L1556" s="53" t="s">
        <v>2758</v>
      </c>
      <c r="M1556" s="56" t="s">
        <v>125</v>
      </c>
      <c r="N1556" s="52"/>
      <c r="O1556" s="53" t="s">
        <v>2303</v>
      </c>
      <c r="P1556" s="53" t="s">
        <v>1796</v>
      </c>
      <c r="Q1556" s="52"/>
      <c r="R1556" s="52"/>
      <c r="S1556" s="54"/>
      <c r="T1556" s="52"/>
      <c r="U1556" s="54">
        <f t="shared" si="100"/>
        <v>491071.42857142852</v>
      </c>
      <c r="V1556" s="54">
        <v>550000</v>
      </c>
      <c r="W1556" s="52"/>
      <c r="X1556" s="52">
        <v>2012</v>
      </c>
      <c r="Y1556" s="52"/>
    </row>
    <row r="1557" spans="2:25" s="55" customFormat="1" ht="127.5" outlineLevel="1">
      <c r="B1557" s="52" t="s">
        <v>2759</v>
      </c>
      <c r="C1557" s="78" t="s">
        <v>246</v>
      </c>
      <c r="D1557" s="52" t="s">
        <v>338</v>
      </c>
      <c r="E1557" s="56" t="s">
        <v>1847</v>
      </c>
      <c r="F1557" s="56" t="s">
        <v>1847</v>
      </c>
      <c r="G1557" s="56"/>
      <c r="H1557" s="52" t="s">
        <v>243</v>
      </c>
      <c r="I1557" s="52">
        <v>100</v>
      </c>
      <c r="J1557" s="52">
        <v>150000000</v>
      </c>
      <c r="K1557" s="56" t="s">
        <v>126</v>
      </c>
      <c r="L1557" s="53" t="s">
        <v>2758</v>
      </c>
      <c r="M1557" s="56" t="s">
        <v>126</v>
      </c>
      <c r="N1557" s="52"/>
      <c r="O1557" s="53" t="s">
        <v>2303</v>
      </c>
      <c r="P1557" s="53" t="s">
        <v>1796</v>
      </c>
      <c r="Q1557" s="52"/>
      <c r="R1557" s="52"/>
      <c r="S1557" s="54"/>
      <c r="T1557" s="52"/>
      <c r="U1557" s="54">
        <f t="shared" si="100"/>
        <v>491071.42857142852</v>
      </c>
      <c r="V1557" s="54">
        <v>550000</v>
      </c>
      <c r="W1557" s="52"/>
      <c r="X1557" s="52">
        <v>2012</v>
      </c>
      <c r="Y1557" s="52"/>
    </row>
    <row r="1558" spans="2:25" s="55" customFormat="1" ht="127.5" outlineLevel="1">
      <c r="B1558" s="52" t="s">
        <v>2760</v>
      </c>
      <c r="C1558" s="78" t="s">
        <v>246</v>
      </c>
      <c r="D1558" s="52" t="s">
        <v>338</v>
      </c>
      <c r="E1558" s="56" t="s">
        <v>1847</v>
      </c>
      <c r="F1558" s="56" t="s">
        <v>1847</v>
      </c>
      <c r="G1558" s="56"/>
      <c r="H1558" s="52" t="s">
        <v>243</v>
      </c>
      <c r="I1558" s="52">
        <v>100</v>
      </c>
      <c r="J1558" s="52">
        <v>190000000</v>
      </c>
      <c r="K1558" s="56" t="s">
        <v>117</v>
      </c>
      <c r="L1558" s="53" t="s">
        <v>2758</v>
      </c>
      <c r="M1558" s="56" t="s">
        <v>117</v>
      </c>
      <c r="N1558" s="52"/>
      <c r="O1558" s="53" t="s">
        <v>2303</v>
      </c>
      <c r="P1558" s="53" t="s">
        <v>1796</v>
      </c>
      <c r="Q1558" s="52"/>
      <c r="R1558" s="52"/>
      <c r="S1558" s="54"/>
      <c r="T1558" s="52"/>
      <c r="U1558" s="54">
        <f t="shared" si="100"/>
        <v>491071.42857142852</v>
      </c>
      <c r="V1558" s="54">
        <v>550000</v>
      </c>
      <c r="W1558" s="52"/>
      <c r="X1558" s="52">
        <v>2012</v>
      </c>
      <c r="Y1558" s="52"/>
    </row>
    <row r="1559" spans="2:25" s="55" customFormat="1" ht="127.5" outlineLevel="1">
      <c r="B1559" s="52" t="s">
        <v>2761</v>
      </c>
      <c r="C1559" s="78" t="s">
        <v>246</v>
      </c>
      <c r="D1559" s="52" t="s">
        <v>338</v>
      </c>
      <c r="E1559" s="56" t="s">
        <v>1847</v>
      </c>
      <c r="F1559" s="56" t="s">
        <v>1847</v>
      </c>
      <c r="G1559" s="56"/>
      <c r="H1559" s="52" t="s">
        <v>243</v>
      </c>
      <c r="I1559" s="52">
        <v>100</v>
      </c>
      <c r="J1559" s="52">
        <v>751000000</v>
      </c>
      <c r="K1559" s="63" t="s">
        <v>1437</v>
      </c>
      <c r="L1559" s="53" t="s">
        <v>2758</v>
      </c>
      <c r="M1559" s="63" t="s">
        <v>1437</v>
      </c>
      <c r="N1559" s="52"/>
      <c r="O1559" s="53" t="s">
        <v>2303</v>
      </c>
      <c r="P1559" s="53" t="s">
        <v>1796</v>
      </c>
      <c r="Q1559" s="52"/>
      <c r="R1559" s="52"/>
      <c r="S1559" s="54"/>
      <c r="T1559" s="52"/>
      <c r="U1559" s="54">
        <f t="shared" si="100"/>
        <v>491071.42857142852</v>
      </c>
      <c r="V1559" s="54">
        <v>550000</v>
      </c>
      <c r="W1559" s="52"/>
      <c r="X1559" s="52">
        <v>2012</v>
      </c>
      <c r="Y1559" s="52"/>
    </row>
    <row r="1560" spans="2:25" s="55" customFormat="1" ht="114.75" outlineLevel="1">
      <c r="B1560" s="52" t="s">
        <v>2762</v>
      </c>
      <c r="C1560" s="78" t="s">
        <v>246</v>
      </c>
      <c r="D1560" s="52" t="s">
        <v>338</v>
      </c>
      <c r="E1560" s="56" t="s">
        <v>1847</v>
      </c>
      <c r="F1560" s="56" t="s">
        <v>1847</v>
      </c>
      <c r="G1560" s="56"/>
      <c r="H1560" s="52" t="s">
        <v>243</v>
      </c>
      <c r="I1560" s="52">
        <v>100</v>
      </c>
      <c r="J1560" s="52">
        <v>711000000</v>
      </c>
      <c r="K1560" s="56" t="s">
        <v>151</v>
      </c>
      <c r="L1560" s="53" t="s">
        <v>2758</v>
      </c>
      <c r="M1560" s="53" t="s">
        <v>1816</v>
      </c>
      <c r="N1560" s="52"/>
      <c r="O1560" s="53" t="s">
        <v>2303</v>
      </c>
      <c r="P1560" s="53" t="s">
        <v>1598</v>
      </c>
      <c r="Q1560" s="52"/>
      <c r="R1560" s="52"/>
      <c r="S1560" s="54"/>
      <c r="T1560" s="52"/>
      <c r="U1560" s="54">
        <f t="shared" si="100"/>
        <v>491071.42857142852</v>
      </c>
      <c r="V1560" s="54">
        <v>550000</v>
      </c>
      <c r="W1560" s="52"/>
      <c r="X1560" s="52">
        <v>2012</v>
      </c>
      <c r="Y1560" s="52">
        <v>21</v>
      </c>
    </row>
    <row r="1561" spans="2:25" s="55" customFormat="1" ht="127.5" outlineLevel="1">
      <c r="B1561" s="52" t="s">
        <v>2763</v>
      </c>
      <c r="C1561" s="78" t="s">
        <v>246</v>
      </c>
      <c r="D1561" s="52" t="s">
        <v>338</v>
      </c>
      <c r="E1561" s="56" t="s">
        <v>1847</v>
      </c>
      <c r="F1561" s="56" t="s">
        <v>1847</v>
      </c>
      <c r="G1561" s="56"/>
      <c r="H1561" s="52" t="s">
        <v>243</v>
      </c>
      <c r="I1561" s="52">
        <v>100</v>
      </c>
      <c r="J1561" s="52">
        <v>230000000</v>
      </c>
      <c r="K1561" s="56" t="s">
        <v>118</v>
      </c>
      <c r="L1561" s="53" t="s">
        <v>2758</v>
      </c>
      <c r="M1561" s="56" t="s">
        <v>118</v>
      </c>
      <c r="N1561" s="52"/>
      <c r="O1561" s="53" t="s">
        <v>2303</v>
      </c>
      <c r="P1561" s="53" t="s">
        <v>1796</v>
      </c>
      <c r="Q1561" s="52"/>
      <c r="R1561" s="52"/>
      <c r="S1561" s="54"/>
      <c r="T1561" s="52"/>
      <c r="U1561" s="54">
        <f t="shared" si="100"/>
        <v>491071.42857142852</v>
      </c>
      <c r="V1561" s="54">
        <v>550000</v>
      </c>
      <c r="W1561" s="52"/>
      <c r="X1561" s="52">
        <v>2012</v>
      </c>
      <c r="Y1561" s="52"/>
    </row>
    <row r="1562" spans="2:25" s="55" customFormat="1" ht="114.75" outlineLevel="1">
      <c r="B1562" s="52" t="s">
        <v>2764</v>
      </c>
      <c r="C1562" s="78" t="s">
        <v>246</v>
      </c>
      <c r="D1562" s="52" t="s">
        <v>338</v>
      </c>
      <c r="E1562" s="56" t="s">
        <v>1847</v>
      </c>
      <c r="F1562" s="56" t="s">
        <v>1847</v>
      </c>
      <c r="G1562" s="56"/>
      <c r="H1562" s="52" t="s">
        <v>243</v>
      </c>
      <c r="I1562" s="52">
        <v>100</v>
      </c>
      <c r="J1562" s="52">
        <v>630000000</v>
      </c>
      <c r="K1562" s="56" t="s">
        <v>97</v>
      </c>
      <c r="L1562" s="53" t="s">
        <v>2758</v>
      </c>
      <c r="M1562" s="56" t="s">
        <v>97</v>
      </c>
      <c r="N1562" s="52"/>
      <c r="O1562" s="53" t="s">
        <v>2303</v>
      </c>
      <c r="P1562" s="53" t="s">
        <v>1598</v>
      </c>
      <c r="Q1562" s="52"/>
      <c r="R1562" s="52"/>
      <c r="S1562" s="54"/>
      <c r="T1562" s="52"/>
      <c r="U1562" s="54">
        <f t="shared" si="100"/>
        <v>491071.42857142852</v>
      </c>
      <c r="V1562" s="54">
        <v>550000</v>
      </c>
      <c r="W1562" s="52"/>
      <c r="X1562" s="52">
        <v>2012</v>
      </c>
      <c r="Y1562" s="52"/>
    </row>
    <row r="1563" spans="2:25" s="55" customFormat="1" ht="127.5" outlineLevel="1">
      <c r="B1563" s="52" t="s">
        <v>2765</v>
      </c>
      <c r="C1563" s="78" t="s">
        <v>246</v>
      </c>
      <c r="D1563" s="52" t="s">
        <v>338</v>
      </c>
      <c r="E1563" s="56" t="s">
        <v>1847</v>
      </c>
      <c r="F1563" s="56" t="s">
        <v>1847</v>
      </c>
      <c r="G1563" s="56"/>
      <c r="H1563" s="52" t="s">
        <v>243</v>
      </c>
      <c r="I1563" s="52">
        <v>100</v>
      </c>
      <c r="J1563" s="52">
        <v>310000000</v>
      </c>
      <c r="K1563" s="56" t="s">
        <v>119</v>
      </c>
      <c r="L1563" s="53" t="s">
        <v>2758</v>
      </c>
      <c r="M1563" s="56" t="s">
        <v>119</v>
      </c>
      <c r="N1563" s="52"/>
      <c r="O1563" s="53" t="s">
        <v>2303</v>
      </c>
      <c r="P1563" s="53" t="s">
        <v>1796</v>
      </c>
      <c r="Q1563" s="52"/>
      <c r="R1563" s="52"/>
      <c r="S1563" s="54"/>
      <c r="T1563" s="52"/>
      <c r="U1563" s="54">
        <f t="shared" si="100"/>
        <v>491071.42857142852</v>
      </c>
      <c r="V1563" s="54">
        <v>550000</v>
      </c>
      <c r="W1563" s="52"/>
      <c r="X1563" s="52">
        <v>2012</v>
      </c>
      <c r="Y1563" s="52"/>
    </row>
    <row r="1564" spans="2:25" s="55" customFormat="1" ht="114.75" outlineLevel="1">
      <c r="B1564" s="52" t="s">
        <v>2766</v>
      </c>
      <c r="C1564" s="78" t="s">
        <v>246</v>
      </c>
      <c r="D1564" s="52" t="s">
        <v>338</v>
      </c>
      <c r="E1564" s="56" t="s">
        <v>1847</v>
      </c>
      <c r="F1564" s="56" t="s">
        <v>1847</v>
      </c>
      <c r="G1564" s="56"/>
      <c r="H1564" s="52" t="s">
        <v>243</v>
      </c>
      <c r="I1564" s="52">
        <v>100</v>
      </c>
      <c r="J1564" s="52">
        <v>270000000</v>
      </c>
      <c r="K1564" s="56" t="s">
        <v>98</v>
      </c>
      <c r="L1564" s="53" t="s">
        <v>2758</v>
      </c>
      <c r="M1564" s="56" t="s">
        <v>98</v>
      </c>
      <c r="N1564" s="52"/>
      <c r="O1564" s="53" t="s">
        <v>2303</v>
      </c>
      <c r="P1564" s="53" t="s">
        <v>1598</v>
      </c>
      <c r="Q1564" s="52"/>
      <c r="R1564" s="52"/>
      <c r="S1564" s="54"/>
      <c r="T1564" s="52"/>
      <c r="U1564" s="54">
        <f t="shared" si="100"/>
        <v>491071.42857142852</v>
      </c>
      <c r="V1564" s="54">
        <v>550000</v>
      </c>
      <c r="W1564" s="52"/>
      <c r="X1564" s="52">
        <v>2012</v>
      </c>
      <c r="Y1564" s="52"/>
    </row>
    <row r="1565" spans="2:25" s="55" customFormat="1" ht="127.5" outlineLevel="1">
      <c r="B1565" s="52" t="s">
        <v>2767</v>
      </c>
      <c r="C1565" s="78" t="s">
        <v>246</v>
      </c>
      <c r="D1565" s="52" t="s">
        <v>338</v>
      </c>
      <c r="E1565" s="56" t="s">
        <v>1847</v>
      </c>
      <c r="F1565" s="56" t="s">
        <v>1847</v>
      </c>
      <c r="G1565" s="56"/>
      <c r="H1565" s="52" t="s">
        <v>243</v>
      </c>
      <c r="I1565" s="52">
        <v>100</v>
      </c>
      <c r="J1565" s="52">
        <v>350000000</v>
      </c>
      <c r="K1565" s="56" t="s">
        <v>120</v>
      </c>
      <c r="L1565" s="53" t="s">
        <v>2758</v>
      </c>
      <c r="M1565" s="56" t="s">
        <v>120</v>
      </c>
      <c r="N1565" s="52"/>
      <c r="O1565" s="53" t="s">
        <v>2303</v>
      </c>
      <c r="P1565" s="53" t="s">
        <v>1796</v>
      </c>
      <c r="Q1565" s="52"/>
      <c r="R1565" s="52"/>
      <c r="S1565" s="54"/>
      <c r="T1565" s="52"/>
      <c r="U1565" s="54">
        <f t="shared" si="100"/>
        <v>491071.42857142852</v>
      </c>
      <c r="V1565" s="54">
        <v>550000</v>
      </c>
      <c r="W1565" s="52"/>
      <c r="X1565" s="52">
        <v>2012</v>
      </c>
      <c r="Y1565" s="52"/>
    </row>
    <row r="1566" spans="2:25" s="55" customFormat="1" ht="114.75" outlineLevel="1">
      <c r="B1566" s="52" t="s">
        <v>2768</v>
      </c>
      <c r="C1566" s="78" t="s">
        <v>246</v>
      </c>
      <c r="D1566" s="52" t="s">
        <v>338</v>
      </c>
      <c r="E1566" s="56" t="s">
        <v>1847</v>
      </c>
      <c r="F1566" s="56" t="s">
        <v>1847</v>
      </c>
      <c r="G1566" s="56"/>
      <c r="H1566" s="52" t="s">
        <v>243</v>
      </c>
      <c r="I1566" s="52">
        <v>100</v>
      </c>
      <c r="J1566" s="52">
        <v>390000000</v>
      </c>
      <c r="K1566" s="56" t="s">
        <v>121</v>
      </c>
      <c r="L1566" s="53" t="s">
        <v>2758</v>
      </c>
      <c r="M1566" s="56" t="s">
        <v>121</v>
      </c>
      <c r="N1566" s="52"/>
      <c r="O1566" s="53" t="s">
        <v>2303</v>
      </c>
      <c r="P1566" s="53" t="s">
        <v>1598</v>
      </c>
      <c r="Q1566" s="52"/>
      <c r="R1566" s="52"/>
      <c r="S1566" s="54"/>
      <c r="T1566" s="52"/>
      <c r="U1566" s="54">
        <f t="shared" si="100"/>
        <v>491071.42857142852</v>
      </c>
      <c r="V1566" s="54">
        <v>550000</v>
      </c>
      <c r="W1566" s="52"/>
      <c r="X1566" s="52">
        <v>2012</v>
      </c>
      <c r="Y1566" s="52"/>
    </row>
    <row r="1567" spans="2:25" s="55" customFormat="1" ht="127.5" outlineLevel="1">
      <c r="B1567" s="52" t="s">
        <v>2769</v>
      </c>
      <c r="C1567" s="78" t="s">
        <v>246</v>
      </c>
      <c r="D1567" s="52" t="s">
        <v>338</v>
      </c>
      <c r="E1567" s="56" t="s">
        <v>1847</v>
      </c>
      <c r="F1567" s="56" t="s">
        <v>1847</v>
      </c>
      <c r="G1567" s="56"/>
      <c r="H1567" s="52" t="s">
        <v>243</v>
      </c>
      <c r="I1567" s="52">
        <v>100</v>
      </c>
      <c r="J1567" s="52">
        <v>430000000</v>
      </c>
      <c r="K1567" s="56" t="s">
        <v>122</v>
      </c>
      <c r="L1567" s="53" t="s">
        <v>2758</v>
      </c>
      <c r="M1567" s="56" t="s">
        <v>122</v>
      </c>
      <c r="N1567" s="52"/>
      <c r="O1567" s="53" t="s">
        <v>2303</v>
      </c>
      <c r="P1567" s="53" t="s">
        <v>1796</v>
      </c>
      <c r="Q1567" s="52"/>
      <c r="R1567" s="52"/>
      <c r="S1567" s="54"/>
      <c r="T1567" s="52"/>
      <c r="U1567" s="54">
        <f t="shared" si="100"/>
        <v>491071.42857142852</v>
      </c>
      <c r="V1567" s="54">
        <v>550000</v>
      </c>
      <c r="W1567" s="52"/>
      <c r="X1567" s="52">
        <v>2012</v>
      </c>
      <c r="Y1567" s="52"/>
    </row>
    <row r="1568" spans="2:25" s="89" customFormat="1" ht="114.75" outlineLevel="1">
      <c r="B1568" s="52" t="s">
        <v>2770</v>
      </c>
      <c r="C1568" s="132" t="s">
        <v>246</v>
      </c>
      <c r="D1568" s="52" t="s">
        <v>338</v>
      </c>
      <c r="E1568" s="56" t="s">
        <v>1847</v>
      </c>
      <c r="F1568" s="56" t="s">
        <v>1847</v>
      </c>
      <c r="G1568" s="56"/>
      <c r="H1568" s="135" t="s">
        <v>243</v>
      </c>
      <c r="I1568" s="135">
        <v>100</v>
      </c>
      <c r="J1568" s="135">
        <v>470000000</v>
      </c>
      <c r="K1568" s="133" t="s">
        <v>123</v>
      </c>
      <c r="L1568" s="53" t="s">
        <v>2758</v>
      </c>
      <c r="M1568" s="133" t="s">
        <v>123</v>
      </c>
      <c r="N1568" s="135"/>
      <c r="O1568" s="53" t="s">
        <v>2303</v>
      </c>
      <c r="P1568" s="53" t="s">
        <v>1598</v>
      </c>
      <c r="Q1568" s="135"/>
      <c r="R1568" s="135"/>
      <c r="S1568" s="137"/>
      <c r="T1568" s="135"/>
      <c r="U1568" s="137">
        <f t="shared" si="100"/>
        <v>491071.42857142852</v>
      </c>
      <c r="V1568" s="54">
        <v>550000</v>
      </c>
      <c r="W1568" s="135"/>
      <c r="X1568" s="52">
        <v>2012</v>
      </c>
      <c r="Y1568" s="135"/>
    </row>
    <row r="1569" spans="1:26" s="55" customFormat="1" ht="127.5" outlineLevel="1">
      <c r="B1569" s="52" t="s">
        <v>2771</v>
      </c>
      <c r="C1569" s="78" t="s">
        <v>246</v>
      </c>
      <c r="D1569" s="52" t="s">
        <v>338</v>
      </c>
      <c r="E1569" s="56" t="s">
        <v>1847</v>
      </c>
      <c r="F1569" s="56" t="s">
        <v>1847</v>
      </c>
      <c r="G1569" s="56"/>
      <c r="H1569" s="52" t="s">
        <v>243</v>
      </c>
      <c r="I1569" s="52">
        <v>70</v>
      </c>
      <c r="J1569" s="52">
        <v>550000000</v>
      </c>
      <c r="K1569" s="56" t="s">
        <v>124</v>
      </c>
      <c r="L1569" s="53" t="s">
        <v>2758</v>
      </c>
      <c r="M1569" s="56" t="s">
        <v>124</v>
      </c>
      <c r="N1569" s="52"/>
      <c r="O1569" s="53" t="s">
        <v>2303</v>
      </c>
      <c r="P1569" s="53" t="s">
        <v>1796</v>
      </c>
      <c r="Q1569" s="52"/>
      <c r="R1569" s="52"/>
      <c r="S1569" s="54"/>
      <c r="T1569" s="52"/>
      <c r="U1569" s="54">
        <f t="shared" si="100"/>
        <v>491071.42857142852</v>
      </c>
      <c r="V1569" s="54">
        <v>550000</v>
      </c>
      <c r="W1569" s="52"/>
      <c r="X1569" s="52">
        <v>2012</v>
      </c>
      <c r="Y1569" s="52"/>
    </row>
    <row r="1570" spans="1:26" s="55" customFormat="1" ht="114.75" outlineLevel="1">
      <c r="B1570" s="52" t="s">
        <v>2772</v>
      </c>
      <c r="C1570" s="78" t="s">
        <v>246</v>
      </c>
      <c r="D1570" s="52" t="s">
        <v>338</v>
      </c>
      <c r="E1570" s="56" t="s">
        <v>1847</v>
      </c>
      <c r="F1570" s="56" t="s">
        <v>1847</v>
      </c>
      <c r="G1570" s="56"/>
      <c r="H1570" s="52" t="s">
        <v>243</v>
      </c>
      <c r="I1570" s="52">
        <v>100</v>
      </c>
      <c r="J1570" s="52">
        <v>590000000</v>
      </c>
      <c r="K1570" s="56" t="s">
        <v>103</v>
      </c>
      <c r="L1570" s="53" t="s">
        <v>2758</v>
      </c>
      <c r="M1570" s="56" t="s">
        <v>103</v>
      </c>
      <c r="N1570" s="52"/>
      <c r="O1570" s="53" t="s">
        <v>2303</v>
      </c>
      <c r="P1570" s="53" t="s">
        <v>1598</v>
      </c>
      <c r="Q1570" s="52"/>
      <c r="R1570" s="52"/>
      <c r="S1570" s="54"/>
      <c r="T1570" s="52"/>
      <c r="U1570" s="54">
        <f t="shared" si="100"/>
        <v>491071.42857142852</v>
      </c>
      <c r="V1570" s="54">
        <v>550000</v>
      </c>
      <c r="W1570" s="52"/>
      <c r="X1570" s="52">
        <v>2012</v>
      </c>
      <c r="Y1570" s="52"/>
    </row>
    <row r="1571" spans="1:26" s="55" customFormat="1" ht="127.5" outlineLevel="1">
      <c r="B1571" s="52" t="s">
        <v>2773</v>
      </c>
      <c r="C1571" s="78" t="s">
        <v>246</v>
      </c>
      <c r="D1571" s="52" t="s">
        <v>338</v>
      </c>
      <c r="E1571" s="56" t="s">
        <v>1847</v>
      </c>
      <c r="F1571" s="56" t="s">
        <v>1847</v>
      </c>
      <c r="G1571" s="56"/>
      <c r="H1571" s="52" t="s">
        <v>243</v>
      </c>
      <c r="I1571" s="52">
        <v>100</v>
      </c>
      <c r="J1571" s="52">
        <v>510000000</v>
      </c>
      <c r="K1571" s="56" t="s">
        <v>104</v>
      </c>
      <c r="L1571" s="53" t="s">
        <v>2758</v>
      </c>
      <c r="M1571" s="56" t="s">
        <v>104</v>
      </c>
      <c r="N1571" s="52"/>
      <c r="O1571" s="53" t="s">
        <v>2303</v>
      </c>
      <c r="P1571" s="53" t="s">
        <v>1796</v>
      </c>
      <c r="Q1571" s="52"/>
      <c r="R1571" s="52"/>
      <c r="S1571" s="54"/>
      <c r="T1571" s="52"/>
      <c r="U1571" s="54">
        <f t="shared" si="100"/>
        <v>491071.42857142852</v>
      </c>
      <c r="V1571" s="54">
        <v>550000</v>
      </c>
      <c r="W1571" s="52"/>
      <c r="X1571" s="52">
        <v>2012</v>
      </c>
      <c r="Y1571" s="52"/>
    </row>
    <row r="1572" spans="1:26" s="55" customFormat="1" ht="89.25" outlineLevel="1">
      <c r="B1572" s="52" t="s">
        <v>2774</v>
      </c>
      <c r="C1572" s="78" t="s">
        <v>246</v>
      </c>
      <c r="D1572" s="57" t="s">
        <v>2775</v>
      </c>
      <c r="E1572" s="56" t="s">
        <v>2776</v>
      </c>
      <c r="F1572" s="56" t="s">
        <v>2777</v>
      </c>
      <c r="G1572" s="56"/>
      <c r="H1572" s="52" t="s">
        <v>243</v>
      </c>
      <c r="I1572" s="52">
        <v>100</v>
      </c>
      <c r="J1572" s="52">
        <v>751000000</v>
      </c>
      <c r="K1572" s="53" t="s">
        <v>2290</v>
      </c>
      <c r="L1572" s="53" t="s">
        <v>1463</v>
      </c>
      <c r="M1572" s="53" t="s">
        <v>1816</v>
      </c>
      <c r="N1572" s="52"/>
      <c r="O1572" s="53" t="s">
        <v>2734</v>
      </c>
      <c r="P1572" s="53" t="s">
        <v>2778</v>
      </c>
      <c r="Q1572" s="52"/>
      <c r="R1572" s="52"/>
      <c r="S1572" s="54"/>
      <c r="T1572" s="52"/>
      <c r="U1572" s="54">
        <f t="shared" si="100"/>
        <v>383928.57142857142</v>
      </c>
      <c r="V1572" s="54">
        <v>430000</v>
      </c>
      <c r="W1572" s="52"/>
      <c r="X1572" s="52">
        <v>2012</v>
      </c>
      <c r="Y1572" s="52"/>
    </row>
    <row r="1573" spans="1:26" s="55" customFormat="1" ht="76.5">
      <c r="B1573" s="52" t="s">
        <v>2917</v>
      </c>
      <c r="C1573" s="78" t="s">
        <v>246</v>
      </c>
      <c r="D1573" s="52" t="s">
        <v>305</v>
      </c>
      <c r="E1573" s="56" t="s">
        <v>2918</v>
      </c>
      <c r="F1573" s="56" t="s">
        <v>2919</v>
      </c>
      <c r="G1573" s="52"/>
      <c r="H1573" s="52" t="s">
        <v>243</v>
      </c>
      <c r="I1573" s="52">
        <v>100</v>
      </c>
      <c r="J1573" s="52">
        <v>751000000</v>
      </c>
      <c r="K1573" s="53" t="s">
        <v>2290</v>
      </c>
      <c r="L1573" s="53" t="s">
        <v>1502</v>
      </c>
      <c r="M1573" s="53" t="s">
        <v>2338</v>
      </c>
      <c r="N1573" s="52"/>
      <c r="O1573" s="53" t="s">
        <v>1502</v>
      </c>
      <c r="P1573" s="53" t="s">
        <v>1524</v>
      </c>
      <c r="Q1573" s="52"/>
      <c r="R1573" s="54"/>
      <c r="S1573" s="52"/>
      <c r="T1573" s="54"/>
      <c r="U1573" s="54">
        <f t="shared" si="100"/>
        <v>85535.71428571429</v>
      </c>
      <c r="V1573" s="54">
        <v>95800</v>
      </c>
      <c r="W1573" s="52"/>
      <c r="X1573" s="54">
        <v>2012</v>
      </c>
      <c r="Y1573" s="52" t="s">
        <v>1754</v>
      </c>
    </row>
    <row r="1574" spans="1:26" s="118" customFormat="1" ht="76.5" outlineLevel="1">
      <c r="B1574" s="52" t="s">
        <v>2920</v>
      </c>
      <c r="C1574" s="78" t="s">
        <v>246</v>
      </c>
      <c r="D1574" s="52" t="s">
        <v>310</v>
      </c>
      <c r="E1574" s="56" t="s">
        <v>2921</v>
      </c>
      <c r="F1574" s="56" t="s">
        <v>2922</v>
      </c>
      <c r="G1574" s="56"/>
      <c r="H1574" s="52" t="s">
        <v>243</v>
      </c>
      <c r="I1574" s="52">
        <v>100</v>
      </c>
      <c r="J1574" s="52">
        <v>751000000</v>
      </c>
      <c r="K1574" s="53" t="s">
        <v>2290</v>
      </c>
      <c r="L1574" s="53" t="s">
        <v>2707</v>
      </c>
      <c r="M1574" s="56" t="s">
        <v>2491</v>
      </c>
      <c r="N1574" s="52"/>
      <c r="O1574" s="53" t="s">
        <v>2530</v>
      </c>
      <c r="P1574" s="53" t="s">
        <v>2923</v>
      </c>
      <c r="Q1574" s="52"/>
      <c r="R1574" s="52"/>
      <c r="S1574" s="54"/>
      <c r="T1574" s="52"/>
      <c r="U1574" s="54">
        <f t="shared" si="100"/>
        <v>143365.17857142858</v>
      </c>
      <c r="V1574" s="68">
        <v>160569</v>
      </c>
      <c r="W1574" s="52"/>
      <c r="X1574" s="52">
        <v>2012</v>
      </c>
      <c r="Y1574" s="52"/>
    </row>
    <row r="1575" spans="1:26" s="118" customFormat="1" ht="76.5" outlineLevel="1">
      <c r="B1575" s="52" t="s">
        <v>2924</v>
      </c>
      <c r="C1575" s="78" t="s">
        <v>246</v>
      </c>
      <c r="D1575" s="52" t="s">
        <v>310</v>
      </c>
      <c r="E1575" s="56" t="s">
        <v>2925</v>
      </c>
      <c r="F1575" s="56" t="s">
        <v>2926</v>
      </c>
      <c r="G1575" s="56"/>
      <c r="H1575" s="52" t="s">
        <v>243</v>
      </c>
      <c r="I1575" s="52">
        <v>100</v>
      </c>
      <c r="J1575" s="52">
        <v>751000000</v>
      </c>
      <c r="K1575" s="53" t="s">
        <v>2290</v>
      </c>
      <c r="L1575" s="53" t="s">
        <v>2927</v>
      </c>
      <c r="M1575" s="56" t="s">
        <v>2491</v>
      </c>
      <c r="N1575" s="52"/>
      <c r="O1575" s="53" t="s">
        <v>2927</v>
      </c>
      <c r="P1575" s="53" t="s">
        <v>2923</v>
      </c>
      <c r="Q1575" s="52"/>
      <c r="R1575" s="52"/>
      <c r="S1575" s="54"/>
      <c r="T1575" s="52"/>
      <c r="U1575" s="54">
        <f t="shared" si="100"/>
        <v>832896.42857142864</v>
      </c>
      <c r="V1575" s="68">
        <v>932844</v>
      </c>
      <c r="W1575" s="52"/>
      <c r="X1575" s="52">
        <v>2012</v>
      </c>
      <c r="Y1575" s="52"/>
    </row>
    <row r="1576" spans="1:26" s="118" customFormat="1" outlineLevel="1">
      <c r="B1576" s="52"/>
      <c r="C1576" s="78"/>
      <c r="D1576" s="52"/>
      <c r="E1576" s="56"/>
      <c r="F1576" s="56"/>
      <c r="G1576" s="56"/>
      <c r="H1576" s="52"/>
      <c r="I1576" s="52"/>
      <c r="J1576" s="52"/>
      <c r="K1576" s="56"/>
      <c r="L1576" s="53"/>
      <c r="M1576" s="56"/>
      <c r="N1576" s="52"/>
      <c r="O1576" s="53"/>
      <c r="P1576" s="53"/>
      <c r="Q1576" s="52"/>
      <c r="R1576" s="52"/>
      <c r="S1576" s="54"/>
      <c r="T1576" s="52"/>
      <c r="U1576" s="54"/>
      <c r="V1576" s="68"/>
      <c r="W1576" s="52"/>
      <c r="X1576" s="52"/>
      <c r="Y1576" s="52"/>
      <c r="Z1576" s="188">
        <f>V1577-'[4]Приложение 1'!$V$1382</f>
        <v>353093</v>
      </c>
    </row>
    <row r="1577" spans="1:26">
      <c r="A1577" s="119"/>
      <c r="B1577" s="189" t="s">
        <v>29</v>
      </c>
      <c r="C1577" s="189"/>
      <c r="D1577" s="189"/>
      <c r="E1577" s="120"/>
      <c r="F1577" s="121"/>
      <c r="G1577" s="121"/>
      <c r="H1577" s="180"/>
      <c r="I1577" s="180"/>
      <c r="J1577" s="180"/>
      <c r="K1577" s="180"/>
      <c r="L1577" s="180"/>
      <c r="M1577" s="180"/>
      <c r="N1577" s="180"/>
      <c r="O1577" s="180"/>
      <c r="P1577" s="180"/>
      <c r="Q1577" s="180"/>
      <c r="R1577" s="180"/>
      <c r="S1577" s="122"/>
      <c r="T1577" s="180"/>
      <c r="U1577" s="180"/>
      <c r="V1577" s="122">
        <f>SUM(V812:V1575)</f>
        <v>1450848444.7837708</v>
      </c>
      <c r="W1577" s="119"/>
      <c r="X1577" s="119"/>
      <c r="Y1577" s="119"/>
    </row>
    <row r="1578" spans="1:26">
      <c r="A1578" s="119"/>
      <c r="B1578" s="189" t="s">
        <v>30</v>
      </c>
      <c r="C1578" s="189"/>
      <c r="D1578" s="189"/>
      <c r="E1578" s="120"/>
      <c r="F1578" s="121"/>
      <c r="G1578" s="121"/>
      <c r="H1578" s="180"/>
      <c r="I1578" s="180"/>
      <c r="J1578" s="180"/>
      <c r="K1578" s="180"/>
      <c r="L1578" s="180"/>
      <c r="M1578" s="180"/>
      <c r="N1578" s="180"/>
      <c r="O1578" s="180"/>
      <c r="P1578" s="180"/>
      <c r="Q1578" s="180"/>
      <c r="R1578" s="180"/>
      <c r="S1578" s="122"/>
      <c r="T1578" s="180"/>
      <c r="U1578" s="180"/>
      <c r="V1578" s="122">
        <f>V810+V1577</f>
        <v>1828721175.4037709</v>
      </c>
      <c r="W1578" s="119"/>
      <c r="X1578" s="119"/>
      <c r="Y1578" s="119"/>
    </row>
    <row r="1581" spans="1:26">
      <c r="O1581" s="98" t="s">
        <v>2489</v>
      </c>
      <c r="W1581" s="107"/>
      <c r="X1581" s="107"/>
      <c r="Y1581" s="107"/>
    </row>
    <row r="1582" spans="1:26">
      <c r="W1582" s="107"/>
      <c r="X1582" s="107"/>
      <c r="Y1582" s="107"/>
    </row>
    <row r="1583" spans="1:26">
      <c r="X1583" s="107"/>
      <c r="Y1583" s="107"/>
    </row>
    <row r="1584" spans="1:26">
      <c r="X1584" s="107"/>
    </row>
    <row r="1586" spans="19:26">
      <c r="S1586" s="167"/>
      <c r="T1586" s="166"/>
      <c r="U1586" s="166"/>
      <c r="V1586" s="167"/>
      <c r="W1586" s="166"/>
      <c r="X1586" s="166"/>
      <c r="Y1586" s="166"/>
      <c r="Z1586" s="166"/>
    </row>
    <row r="1587" spans="19:26">
      <c r="S1587" s="167"/>
      <c r="T1587" s="166"/>
      <c r="U1587" s="166"/>
      <c r="V1587" s="167">
        <v>160000</v>
      </c>
      <c r="W1587" s="166"/>
      <c r="X1587" s="166"/>
      <c r="Y1587" s="166"/>
      <c r="Z1587" s="166"/>
    </row>
    <row r="1588" spans="19:26">
      <c r="S1588" s="167"/>
      <c r="T1588" s="166"/>
      <c r="U1588" s="166"/>
      <c r="V1588" s="167">
        <v>222213</v>
      </c>
      <c r="W1588" s="166"/>
      <c r="X1588" s="166"/>
      <c r="Y1588" s="166"/>
      <c r="Z1588" s="166"/>
    </row>
    <row r="1589" spans="19:26">
      <c r="S1589" s="167"/>
      <c r="T1589" s="166"/>
      <c r="U1589" s="166"/>
      <c r="V1589" s="167">
        <f>V1587+V1588</f>
        <v>382213</v>
      </c>
      <c r="W1589" s="166"/>
      <c r="X1589" s="166"/>
      <c r="Y1589" s="166"/>
      <c r="Z1589" s="166"/>
    </row>
    <row r="1590" spans="19:26">
      <c r="S1590" s="167"/>
      <c r="T1590" s="166"/>
      <c r="U1590" s="166"/>
      <c r="V1590" s="167"/>
      <c r="W1590" s="166"/>
      <c r="X1590" s="166"/>
      <c r="Y1590" s="166"/>
      <c r="Z1590" s="166"/>
    </row>
    <row r="1591" spans="19:26">
      <c r="S1591" s="167"/>
      <c r="T1591" s="166"/>
      <c r="U1591" s="166"/>
      <c r="V1591" s="167"/>
      <c r="W1591" s="166"/>
      <c r="X1591" s="166"/>
      <c r="Y1591" s="166"/>
      <c r="Z1591" s="166"/>
    </row>
    <row r="1592" spans="19:26">
      <c r="S1592" s="167"/>
      <c r="T1592" s="166"/>
      <c r="U1592" s="166"/>
      <c r="V1592" s="167"/>
      <c r="W1592" s="166"/>
      <c r="X1592" s="166"/>
      <c r="Y1592" s="166"/>
      <c r="Z1592" s="166"/>
    </row>
    <row r="1593" spans="19:26">
      <c r="S1593" s="167"/>
      <c r="T1593" s="166"/>
      <c r="U1593" s="166"/>
      <c r="V1593" s="167"/>
      <c r="W1593" s="166"/>
      <c r="X1593" s="166"/>
      <c r="Y1593" s="166"/>
      <c r="Z1593" s="166"/>
    </row>
    <row r="1594" spans="19:26">
      <c r="S1594" s="167"/>
      <c r="T1594" s="166"/>
      <c r="U1594" s="166"/>
      <c r="V1594" s="167"/>
      <c r="W1594" s="166"/>
      <c r="X1594" s="166"/>
      <c r="Y1594" s="166"/>
      <c r="Z1594" s="166"/>
    </row>
    <row r="1595" spans="19:26">
      <c r="S1595" s="167"/>
      <c r="T1595" s="166"/>
      <c r="U1595" s="166"/>
      <c r="V1595" s="167"/>
      <c r="W1595" s="166"/>
      <c r="X1595" s="166"/>
      <c r="Y1595" s="166"/>
      <c r="Z1595" s="166"/>
    </row>
    <row r="1596" spans="19:26">
      <c r="S1596" s="167"/>
      <c r="T1596" s="166"/>
      <c r="U1596" s="166"/>
      <c r="V1596" s="167">
        <f>'[5]Приложение 1'!$V$1466</f>
        <v>1828338962.4037709</v>
      </c>
      <c r="W1596" s="166"/>
      <c r="X1596" s="166"/>
      <c r="Y1596" s="166"/>
      <c r="Z1596" s="166"/>
    </row>
    <row r="1597" spans="19:26">
      <c r="S1597" s="167"/>
      <c r="T1597" s="166"/>
      <c r="U1597" s="166"/>
      <c r="V1597" s="167">
        <f>V1578-V1596</f>
        <v>382213</v>
      </c>
      <c r="W1597" s="166"/>
      <c r="X1597" s="166"/>
      <c r="Y1597" s="166"/>
      <c r="Z1597" s="166"/>
    </row>
    <row r="1598" spans="19:26">
      <c r="S1598" s="167"/>
      <c r="T1598" s="166"/>
      <c r="U1598" s="166"/>
      <c r="V1598" s="167"/>
      <c r="W1598" s="166"/>
      <c r="X1598" s="166"/>
      <c r="Y1598" s="166"/>
      <c r="Z1598" s="166"/>
    </row>
  </sheetData>
  <mergeCells count="27">
    <mergeCell ref="P2:W2"/>
    <mergeCell ref="S6:S7"/>
    <mergeCell ref="R6:R7"/>
    <mergeCell ref="F6:F7"/>
    <mergeCell ref="K6:K7"/>
    <mergeCell ref="Q6:Q7"/>
    <mergeCell ref="L6:L7"/>
    <mergeCell ref="P6:P7"/>
    <mergeCell ref="H6:H7"/>
    <mergeCell ref="M6:M7"/>
    <mergeCell ref="T6:T7"/>
    <mergeCell ref="N6:N7"/>
    <mergeCell ref="W6:W7"/>
    <mergeCell ref="B1577:D1577"/>
    <mergeCell ref="B1578:D1578"/>
    <mergeCell ref="U6:U7"/>
    <mergeCell ref="V6:V7"/>
    <mergeCell ref="O6:O7"/>
    <mergeCell ref="I6:I7"/>
    <mergeCell ref="J6:J7"/>
    <mergeCell ref="B6:B7"/>
    <mergeCell ref="B811:Y811"/>
    <mergeCell ref="B9:Y9"/>
    <mergeCell ref="C6:C7"/>
    <mergeCell ref="D6:D7"/>
    <mergeCell ref="E6:E7"/>
    <mergeCell ref="Y6:Y7"/>
  </mergeCells>
  <phoneticPr fontId="7" type="noConversion"/>
  <dataValidations count="1">
    <dataValidation allowBlank="1" showInputMessage="1" showErrorMessage="1" prompt="Введите краткую хар-ку на рус.языке" sqref="WVM1315 F1312 F1306:G1308 WLQ1315 F1311:G1311 JA1315 SW1315 ACS1315 AMO1315 AWK1315 BGG1315 BQC1315 BZY1315 CJU1315 CTQ1315 DDM1315 DNI1315 DXE1315 EHA1315 EQW1315 FAS1315 FKO1315 FUK1315 GEG1315 GOC1315 GXY1315 HHU1315 HRQ1315 IBM1315 ILI1315 IVE1315 JFA1315 JOW1315 JYS1315 KIO1315 KSK1315 LCG1315 LMC1315 LVY1315 MFU1315 MPQ1315 MZM1315 NJI1315 NTE1315 ODA1315 OMW1315 OWS1315 PGO1315 PQK1315 QAG1315 QKC1315 QTY1315 RDU1315 RNQ1315 RXM1315 SHI1315 SRE1315 TBA1315 TKW1315 TUS1315 UEO1315 UOK1315 UYG1315 VIC1315 VRY1315 WBU1315 F1313:G1331"/>
  </dataValidations>
  <hyperlinks>
    <hyperlink ref="E239" r:id="rId1" display="http://www.abdi.kz/c71561p1513.php"/>
    <hyperlink ref="E309" r:id="rId2" display="http://www.abdi.kz/c71362p98996.php"/>
    <hyperlink ref="E313" r:id="rId3" display="http://www.abdi.kz/c71118p4335.php"/>
    <hyperlink ref="E312"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482" max="24" man="1"/>
  </rowBreaks>
  <legacyDrawing r:id="rId6"/>
</worksheet>
</file>

<file path=xl/worksheets/sheet2.xml><?xml version="1.0" encoding="utf-8"?>
<worksheet xmlns="http://schemas.openxmlformats.org/spreadsheetml/2006/main" xmlns:r="http://schemas.openxmlformats.org/officeDocument/2006/relationships">
  <dimension ref="B3:I35"/>
  <sheetViews>
    <sheetView workbookViewId="0">
      <selection activeCell="F20" sqref="F20"/>
    </sheetView>
  </sheetViews>
  <sheetFormatPr defaultRowHeight="12.75"/>
  <cols>
    <col min="1" max="1" width="9.140625" style="92"/>
    <col min="2" max="2" width="29.85546875" style="92" customWidth="1"/>
    <col min="3" max="3" width="15.7109375" style="91" customWidth="1"/>
    <col min="4" max="4" width="9.140625" style="92"/>
    <col min="5" max="5" width="11.140625" style="92" bestFit="1" customWidth="1"/>
    <col min="6" max="6" width="20.42578125" style="92" customWidth="1"/>
    <col min="7" max="8" width="9.140625" style="92"/>
    <col min="9" max="9" width="12.7109375" style="92" bestFit="1" customWidth="1"/>
    <col min="10" max="257" width="9.140625" style="92"/>
    <col min="258" max="258" width="29.85546875" style="92" customWidth="1"/>
    <col min="259" max="259" width="15.7109375" style="92" customWidth="1"/>
    <col min="260" max="260" width="9.140625" style="92"/>
    <col min="261" max="261" width="11.140625" style="92" bestFit="1" customWidth="1"/>
    <col min="262" max="262" width="20.42578125" style="92" customWidth="1"/>
    <col min="263" max="264" width="9.140625" style="92"/>
    <col min="265" max="265" width="12.7109375" style="92" bestFit="1" customWidth="1"/>
    <col min="266" max="513" width="9.140625" style="92"/>
    <col min="514" max="514" width="29.85546875" style="92" customWidth="1"/>
    <col min="515" max="515" width="15.7109375" style="92" customWidth="1"/>
    <col min="516" max="516" width="9.140625" style="92"/>
    <col min="517" max="517" width="11.140625" style="92" bestFit="1" customWidth="1"/>
    <col min="518" max="518" width="20.42578125" style="92" customWidth="1"/>
    <col min="519" max="520" width="9.140625" style="92"/>
    <col min="521" max="521" width="12.7109375" style="92" bestFit="1" customWidth="1"/>
    <col min="522" max="769" width="9.140625" style="92"/>
    <col min="770" max="770" width="29.85546875" style="92" customWidth="1"/>
    <col min="771" max="771" width="15.7109375" style="92" customWidth="1"/>
    <col min="772" max="772" width="9.140625" style="92"/>
    <col min="773" max="773" width="11.140625" style="92" bestFit="1" customWidth="1"/>
    <col min="774" max="774" width="20.42578125" style="92" customWidth="1"/>
    <col min="775" max="776" width="9.140625" style="92"/>
    <col min="777" max="777" width="12.7109375" style="92" bestFit="1" customWidth="1"/>
    <col min="778" max="1025" width="9.140625" style="92"/>
    <col min="1026" max="1026" width="29.85546875" style="92" customWidth="1"/>
    <col min="1027" max="1027" width="15.7109375" style="92" customWidth="1"/>
    <col min="1028" max="1028" width="9.140625" style="92"/>
    <col min="1029" max="1029" width="11.140625" style="92" bestFit="1" customWidth="1"/>
    <col min="1030" max="1030" width="20.42578125" style="92" customWidth="1"/>
    <col min="1031" max="1032" width="9.140625" style="92"/>
    <col min="1033" max="1033" width="12.7109375" style="92" bestFit="1" customWidth="1"/>
    <col min="1034" max="1281" width="9.140625" style="92"/>
    <col min="1282" max="1282" width="29.85546875" style="92" customWidth="1"/>
    <col min="1283" max="1283" width="15.7109375" style="92" customWidth="1"/>
    <col min="1284" max="1284" width="9.140625" style="92"/>
    <col min="1285" max="1285" width="11.140625" style="92" bestFit="1" customWidth="1"/>
    <col min="1286" max="1286" width="20.42578125" style="92" customWidth="1"/>
    <col min="1287" max="1288" width="9.140625" style="92"/>
    <col min="1289" max="1289" width="12.7109375" style="92" bestFit="1" customWidth="1"/>
    <col min="1290" max="1537" width="9.140625" style="92"/>
    <col min="1538" max="1538" width="29.85546875" style="92" customWidth="1"/>
    <col min="1539" max="1539" width="15.7109375" style="92" customWidth="1"/>
    <col min="1540" max="1540" width="9.140625" style="92"/>
    <col min="1541" max="1541" width="11.140625" style="92" bestFit="1" customWidth="1"/>
    <col min="1542" max="1542" width="20.42578125" style="92" customWidth="1"/>
    <col min="1543" max="1544" width="9.140625" style="92"/>
    <col min="1545" max="1545" width="12.7109375" style="92" bestFit="1" customWidth="1"/>
    <col min="1546" max="1793" width="9.140625" style="92"/>
    <col min="1794" max="1794" width="29.85546875" style="92" customWidth="1"/>
    <col min="1795" max="1795" width="15.7109375" style="92" customWidth="1"/>
    <col min="1796" max="1796" width="9.140625" style="92"/>
    <col min="1797" max="1797" width="11.140625" style="92" bestFit="1" customWidth="1"/>
    <col min="1798" max="1798" width="20.42578125" style="92" customWidth="1"/>
    <col min="1799" max="1800" width="9.140625" style="92"/>
    <col min="1801" max="1801" width="12.7109375" style="92" bestFit="1" customWidth="1"/>
    <col min="1802" max="2049" width="9.140625" style="92"/>
    <col min="2050" max="2050" width="29.85546875" style="92" customWidth="1"/>
    <col min="2051" max="2051" width="15.7109375" style="92" customWidth="1"/>
    <col min="2052" max="2052" width="9.140625" style="92"/>
    <col min="2053" max="2053" width="11.140625" style="92" bestFit="1" customWidth="1"/>
    <col min="2054" max="2054" width="20.42578125" style="92" customWidth="1"/>
    <col min="2055" max="2056" width="9.140625" style="92"/>
    <col min="2057" max="2057" width="12.7109375" style="92" bestFit="1" customWidth="1"/>
    <col min="2058" max="2305" width="9.140625" style="92"/>
    <col min="2306" max="2306" width="29.85546875" style="92" customWidth="1"/>
    <col min="2307" max="2307" width="15.7109375" style="92" customWidth="1"/>
    <col min="2308" max="2308" width="9.140625" style="92"/>
    <col min="2309" max="2309" width="11.140625" style="92" bestFit="1" customWidth="1"/>
    <col min="2310" max="2310" width="20.42578125" style="92" customWidth="1"/>
    <col min="2311" max="2312" width="9.140625" style="92"/>
    <col min="2313" max="2313" width="12.7109375" style="92" bestFit="1" customWidth="1"/>
    <col min="2314" max="2561" width="9.140625" style="92"/>
    <col min="2562" max="2562" width="29.85546875" style="92" customWidth="1"/>
    <col min="2563" max="2563" width="15.7109375" style="92" customWidth="1"/>
    <col min="2564" max="2564" width="9.140625" style="92"/>
    <col min="2565" max="2565" width="11.140625" style="92" bestFit="1" customWidth="1"/>
    <col min="2566" max="2566" width="20.42578125" style="92" customWidth="1"/>
    <col min="2567" max="2568" width="9.140625" style="92"/>
    <col min="2569" max="2569" width="12.7109375" style="92" bestFit="1" customWidth="1"/>
    <col min="2570" max="2817" width="9.140625" style="92"/>
    <col min="2818" max="2818" width="29.85546875" style="92" customWidth="1"/>
    <col min="2819" max="2819" width="15.7109375" style="92" customWidth="1"/>
    <col min="2820" max="2820" width="9.140625" style="92"/>
    <col min="2821" max="2821" width="11.140625" style="92" bestFit="1" customWidth="1"/>
    <col min="2822" max="2822" width="20.42578125" style="92" customWidth="1"/>
    <col min="2823" max="2824" width="9.140625" style="92"/>
    <col min="2825" max="2825" width="12.7109375" style="92" bestFit="1" customWidth="1"/>
    <col min="2826" max="3073" width="9.140625" style="92"/>
    <col min="3074" max="3074" width="29.85546875" style="92" customWidth="1"/>
    <col min="3075" max="3075" width="15.7109375" style="92" customWidth="1"/>
    <col min="3076" max="3076" width="9.140625" style="92"/>
    <col min="3077" max="3077" width="11.140625" style="92" bestFit="1" customWidth="1"/>
    <col min="3078" max="3078" width="20.42578125" style="92" customWidth="1"/>
    <col min="3079" max="3080" width="9.140625" style="92"/>
    <col min="3081" max="3081" width="12.7109375" style="92" bestFit="1" customWidth="1"/>
    <col min="3082" max="3329" width="9.140625" style="92"/>
    <col min="3330" max="3330" width="29.85546875" style="92" customWidth="1"/>
    <col min="3331" max="3331" width="15.7109375" style="92" customWidth="1"/>
    <col min="3332" max="3332" width="9.140625" style="92"/>
    <col min="3333" max="3333" width="11.140625" style="92" bestFit="1" customWidth="1"/>
    <col min="3334" max="3334" width="20.42578125" style="92" customWidth="1"/>
    <col min="3335" max="3336" width="9.140625" style="92"/>
    <col min="3337" max="3337" width="12.7109375" style="92" bestFit="1" customWidth="1"/>
    <col min="3338" max="3585" width="9.140625" style="92"/>
    <col min="3586" max="3586" width="29.85546875" style="92" customWidth="1"/>
    <col min="3587" max="3587" width="15.7109375" style="92" customWidth="1"/>
    <col min="3588" max="3588" width="9.140625" style="92"/>
    <col min="3589" max="3589" width="11.140625" style="92" bestFit="1" customWidth="1"/>
    <col min="3590" max="3590" width="20.42578125" style="92" customWidth="1"/>
    <col min="3591" max="3592" width="9.140625" style="92"/>
    <col min="3593" max="3593" width="12.7109375" style="92" bestFit="1" customWidth="1"/>
    <col min="3594" max="3841" width="9.140625" style="92"/>
    <col min="3842" max="3842" width="29.85546875" style="92" customWidth="1"/>
    <col min="3843" max="3843" width="15.7109375" style="92" customWidth="1"/>
    <col min="3844" max="3844" width="9.140625" style="92"/>
    <col min="3845" max="3845" width="11.140625" style="92" bestFit="1" customWidth="1"/>
    <col min="3846" max="3846" width="20.42578125" style="92" customWidth="1"/>
    <col min="3847" max="3848" width="9.140625" style="92"/>
    <col min="3849" max="3849" width="12.7109375" style="92" bestFit="1" customWidth="1"/>
    <col min="3850" max="4097" width="9.140625" style="92"/>
    <col min="4098" max="4098" width="29.85546875" style="92" customWidth="1"/>
    <col min="4099" max="4099" width="15.7109375" style="92" customWidth="1"/>
    <col min="4100" max="4100" width="9.140625" style="92"/>
    <col min="4101" max="4101" width="11.140625" style="92" bestFit="1" customWidth="1"/>
    <col min="4102" max="4102" width="20.42578125" style="92" customWidth="1"/>
    <col min="4103" max="4104" width="9.140625" style="92"/>
    <col min="4105" max="4105" width="12.7109375" style="92" bestFit="1" customWidth="1"/>
    <col min="4106" max="4353" width="9.140625" style="92"/>
    <col min="4354" max="4354" width="29.85546875" style="92" customWidth="1"/>
    <col min="4355" max="4355" width="15.7109375" style="92" customWidth="1"/>
    <col min="4356" max="4356" width="9.140625" style="92"/>
    <col min="4357" max="4357" width="11.140625" style="92" bestFit="1" customWidth="1"/>
    <col min="4358" max="4358" width="20.42578125" style="92" customWidth="1"/>
    <col min="4359" max="4360" width="9.140625" style="92"/>
    <col min="4361" max="4361" width="12.7109375" style="92" bestFit="1" customWidth="1"/>
    <col min="4362" max="4609" width="9.140625" style="92"/>
    <col min="4610" max="4610" width="29.85546875" style="92" customWidth="1"/>
    <col min="4611" max="4611" width="15.7109375" style="92" customWidth="1"/>
    <col min="4612" max="4612" width="9.140625" style="92"/>
    <col min="4613" max="4613" width="11.140625" style="92" bestFit="1" customWidth="1"/>
    <col min="4614" max="4614" width="20.42578125" style="92" customWidth="1"/>
    <col min="4615" max="4616" width="9.140625" style="92"/>
    <col min="4617" max="4617" width="12.7109375" style="92" bestFit="1" customWidth="1"/>
    <col min="4618" max="4865" width="9.140625" style="92"/>
    <col min="4866" max="4866" width="29.85546875" style="92" customWidth="1"/>
    <col min="4867" max="4867" width="15.7109375" style="92" customWidth="1"/>
    <col min="4868" max="4868" width="9.140625" style="92"/>
    <col min="4869" max="4869" width="11.140625" style="92" bestFit="1" customWidth="1"/>
    <col min="4870" max="4870" width="20.42578125" style="92" customWidth="1"/>
    <col min="4871" max="4872" width="9.140625" style="92"/>
    <col min="4873" max="4873" width="12.7109375" style="92" bestFit="1" customWidth="1"/>
    <col min="4874" max="5121" width="9.140625" style="92"/>
    <col min="5122" max="5122" width="29.85546875" style="92" customWidth="1"/>
    <col min="5123" max="5123" width="15.7109375" style="92" customWidth="1"/>
    <col min="5124" max="5124" width="9.140625" style="92"/>
    <col min="5125" max="5125" width="11.140625" style="92" bestFit="1" customWidth="1"/>
    <col min="5126" max="5126" width="20.42578125" style="92" customWidth="1"/>
    <col min="5127" max="5128" width="9.140625" style="92"/>
    <col min="5129" max="5129" width="12.7109375" style="92" bestFit="1" customWidth="1"/>
    <col min="5130" max="5377" width="9.140625" style="92"/>
    <col min="5378" max="5378" width="29.85546875" style="92" customWidth="1"/>
    <col min="5379" max="5379" width="15.7109375" style="92" customWidth="1"/>
    <col min="5380" max="5380" width="9.140625" style="92"/>
    <col min="5381" max="5381" width="11.140625" style="92" bestFit="1" customWidth="1"/>
    <col min="5382" max="5382" width="20.42578125" style="92" customWidth="1"/>
    <col min="5383" max="5384" width="9.140625" style="92"/>
    <col min="5385" max="5385" width="12.7109375" style="92" bestFit="1" customWidth="1"/>
    <col min="5386" max="5633" width="9.140625" style="92"/>
    <col min="5634" max="5634" width="29.85546875" style="92" customWidth="1"/>
    <col min="5635" max="5635" width="15.7109375" style="92" customWidth="1"/>
    <col min="5636" max="5636" width="9.140625" style="92"/>
    <col min="5637" max="5637" width="11.140625" style="92" bestFit="1" customWidth="1"/>
    <col min="5638" max="5638" width="20.42578125" style="92" customWidth="1"/>
    <col min="5639" max="5640" width="9.140625" style="92"/>
    <col min="5641" max="5641" width="12.7109375" style="92" bestFit="1" customWidth="1"/>
    <col min="5642" max="5889" width="9.140625" style="92"/>
    <col min="5890" max="5890" width="29.85546875" style="92" customWidth="1"/>
    <col min="5891" max="5891" width="15.7109375" style="92" customWidth="1"/>
    <col min="5892" max="5892" width="9.140625" style="92"/>
    <col min="5893" max="5893" width="11.140625" style="92" bestFit="1" customWidth="1"/>
    <col min="5894" max="5894" width="20.42578125" style="92" customWidth="1"/>
    <col min="5895" max="5896" width="9.140625" style="92"/>
    <col min="5897" max="5897" width="12.7109375" style="92" bestFit="1" customWidth="1"/>
    <col min="5898" max="6145" width="9.140625" style="92"/>
    <col min="6146" max="6146" width="29.85546875" style="92" customWidth="1"/>
    <col min="6147" max="6147" width="15.7109375" style="92" customWidth="1"/>
    <col min="6148" max="6148" width="9.140625" style="92"/>
    <col min="6149" max="6149" width="11.140625" style="92" bestFit="1" customWidth="1"/>
    <col min="6150" max="6150" width="20.42578125" style="92" customWidth="1"/>
    <col min="6151" max="6152" width="9.140625" style="92"/>
    <col min="6153" max="6153" width="12.7109375" style="92" bestFit="1" customWidth="1"/>
    <col min="6154" max="6401" width="9.140625" style="92"/>
    <col min="6402" max="6402" width="29.85546875" style="92" customWidth="1"/>
    <col min="6403" max="6403" width="15.7109375" style="92" customWidth="1"/>
    <col min="6404" max="6404" width="9.140625" style="92"/>
    <col min="6405" max="6405" width="11.140625" style="92" bestFit="1" customWidth="1"/>
    <col min="6406" max="6406" width="20.42578125" style="92" customWidth="1"/>
    <col min="6407" max="6408" width="9.140625" style="92"/>
    <col min="6409" max="6409" width="12.7109375" style="92" bestFit="1" customWidth="1"/>
    <col min="6410" max="6657" width="9.140625" style="92"/>
    <col min="6658" max="6658" width="29.85546875" style="92" customWidth="1"/>
    <col min="6659" max="6659" width="15.7109375" style="92" customWidth="1"/>
    <col min="6660" max="6660" width="9.140625" style="92"/>
    <col min="6661" max="6661" width="11.140625" style="92" bestFit="1" customWidth="1"/>
    <col min="6662" max="6662" width="20.42578125" style="92" customWidth="1"/>
    <col min="6663" max="6664" width="9.140625" style="92"/>
    <col min="6665" max="6665" width="12.7109375" style="92" bestFit="1" customWidth="1"/>
    <col min="6666" max="6913" width="9.140625" style="92"/>
    <col min="6914" max="6914" width="29.85546875" style="92" customWidth="1"/>
    <col min="6915" max="6915" width="15.7109375" style="92" customWidth="1"/>
    <col min="6916" max="6916" width="9.140625" style="92"/>
    <col min="6917" max="6917" width="11.140625" style="92" bestFit="1" customWidth="1"/>
    <col min="6918" max="6918" width="20.42578125" style="92" customWidth="1"/>
    <col min="6919" max="6920" width="9.140625" style="92"/>
    <col min="6921" max="6921" width="12.7109375" style="92" bestFit="1" customWidth="1"/>
    <col min="6922" max="7169" width="9.140625" style="92"/>
    <col min="7170" max="7170" width="29.85546875" style="92" customWidth="1"/>
    <col min="7171" max="7171" width="15.7109375" style="92" customWidth="1"/>
    <col min="7172" max="7172" width="9.140625" style="92"/>
    <col min="7173" max="7173" width="11.140625" style="92" bestFit="1" customWidth="1"/>
    <col min="7174" max="7174" width="20.42578125" style="92" customWidth="1"/>
    <col min="7175" max="7176" width="9.140625" style="92"/>
    <col min="7177" max="7177" width="12.7109375" style="92" bestFit="1" customWidth="1"/>
    <col min="7178" max="7425" width="9.140625" style="92"/>
    <col min="7426" max="7426" width="29.85546875" style="92" customWidth="1"/>
    <col min="7427" max="7427" width="15.7109375" style="92" customWidth="1"/>
    <col min="7428" max="7428" width="9.140625" style="92"/>
    <col min="7429" max="7429" width="11.140625" style="92" bestFit="1" customWidth="1"/>
    <col min="7430" max="7430" width="20.42578125" style="92" customWidth="1"/>
    <col min="7431" max="7432" width="9.140625" style="92"/>
    <col min="7433" max="7433" width="12.7109375" style="92" bestFit="1" customWidth="1"/>
    <col min="7434" max="7681" width="9.140625" style="92"/>
    <col min="7682" max="7682" width="29.85546875" style="92" customWidth="1"/>
    <col min="7683" max="7683" width="15.7109375" style="92" customWidth="1"/>
    <col min="7684" max="7684" width="9.140625" style="92"/>
    <col min="7685" max="7685" width="11.140625" style="92" bestFit="1" customWidth="1"/>
    <col min="7686" max="7686" width="20.42578125" style="92" customWidth="1"/>
    <col min="7687" max="7688" width="9.140625" style="92"/>
    <col min="7689" max="7689" width="12.7109375" style="92" bestFit="1" customWidth="1"/>
    <col min="7690" max="7937" width="9.140625" style="92"/>
    <col min="7938" max="7938" width="29.85546875" style="92" customWidth="1"/>
    <col min="7939" max="7939" width="15.7109375" style="92" customWidth="1"/>
    <col min="7940" max="7940" width="9.140625" style="92"/>
    <col min="7941" max="7941" width="11.140625" style="92" bestFit="1" customWidth="1"/>
    <col min="7942" max="7942" width="20.42578125" style="92" customWidth="1"/>
    <col min="7943" max="7944" width="9.140625" style="92"/>
    <col min="7945" max="7945" width="12.7109375" style="92" bestFit="1" customWidth="1"/>
    <col min="7946" max="8193" width="9.140625" style="92"/>
    <col min="8194" max="8194" width="29.85546875" style="92" customWidth="1"/>
    <col min="8195" max="8195" width="15.7109375" style="92" customWidth="1"/>
    <col min="8196" max="8196" width="9.140625" style="92"/>
    <col min="8197" max="8197" width="11.140625" style="92" bestFit="1" customWidth="1"/>
    <col min="8198" max="8198" width="20.42578125" style="92" customWidth="1"/>
    <col min="8199" max="8200" width="9.140625" style="92"/>
    <col min="8201" max="8201" width="12.7109375" style="92" bestFit="1" customWidth="1"/>
    <col min="8202" max="8449" width="9.140625" style="92"/>
    <col min="8450" max="8450" width="29.85546875" style="92" customWidth="1"/>
    <col min="8451" max="8451" width="15.7109375" style="92" customWidth="1"/>
    <col min="8452" max="8452" width="9.140625" style="92"/>
    <col min="8453" max="8453" width="11.140625" style="92" bestFit="1" customWidth="1"/>
    <col min="8454" max="8454" width="20.42578125" style="92" customWidth="1"/>
    <col min="8455" max="8456" width="9.140625" style="92"/>
    <col min="8457" max="8457" width="12.7109375" style="92" bestFit="1" customWidth="1"/>
    <col min="8458" max="8705" width="9.140625" style="92"/>
    <col min="8706" max="8706" width="29.85546875" style="92" customWidth="1"/>
    <col min="8707" max="8707" width="15.7109375" style="92" customWidth="1"/>
    <col min="8708" max="8708" width="9.140625" style="92"/>
    <col min="8709" max="8709" width="11.140625" style="92" bestFit="1" customWidth="1"/>
    <col min="8710" max="8710" width="20.42578125" style="92" customWidth="1"/>
    <col min="8711" max="8712" width="9.140625" style="92"/>
    <col min="8713" max="8713" width="12.7109375" style="92" bestFit="1" customWidth="1"/>
    <col min="8714" max="8961" width="9.140625" style="92"/>
    <col min="8962" max="8962" width="29.85546875" style="92" customWidth="1"/>
    <col min="8963" max="8963" width="15.7109375" style="92" customWidth="1"/>
    <col min="8964" max="8964" width="9.140625" style="92"/>
    <col min="8965" max="8965" width="11.140625" style="92" bestFit="1" customWidth="1"/>
    <col min="8966" max="8966" width="20.42578125" style="92" customWidth="1"/>
    <col min="8967" max="8968" width="9.140625" style="92"/>
    <col min="8969" max="8969" width="12.7109375" style="92" bestFit="1" customWidth="1"/>
    <col min="8970" max="9217" width="9.140625" style="92"/>
    <col min="9218" max="9218" width="29.85546875" style="92" customWidth="1"/>
    <col min="9219" max="9219" width="15.7109375" style="92" customWidth="1"/>
    <col min="9220" max="9220" width="9.140625" style="92"/>
    <col min="9221" max="9221" width="11.140625" style="92" bestFit="1" customWidth="1"/>
    <col min="9222" max="9222" width="20.42578125" style="92" customWidth="1"/>
    <col min="9223" max="9224" width="9.140625" style="92"/>
    <col min="9225" max="9225" width="12.7109375" style="92" bestFit="1" customWidth="1"/>
    <col min="9226" max="9473" width="9.140625" style="92"/>
    <col min="9474" max="9474" width="29.85546875" style="92" customWidth="1"/>
    <col min="9475" max="9475" width="15.7109375" style="92" customWidth="1"/>
    <col min="9476" max="9476" width="9.140625" style="92"/>
    <col min="9477" max="9477" width="11.140625" style="92" bestFit="1" customWidth="1"/>
    <col min="9478" max="9478" width="20.42578125" style="92" customWidth="1"/>
    <col min="9479" max="9480" width="9.140625" style="92"/>
    <col min="9481" max="9481" width="12.7109375" style="92" bestFit="1" customWidth="1"/>
    <col min="9482" max="9729" width="9.140625" style="92"/>
    <col min="9730" max="9730" width="29.85546875" style="92" customWidth="1"/>
    <col min="9731" max="9731" width="15.7109375" style="92" customWidth="1"/>
    <col min="9732" max="9732" width="9.140625" style="92"/>
    <col min="9733" max="9733" width="11.140625" style="92" bestFit="1" customWidth="1"/>
    <col min="9734" max="9734" width="20.42578125" style="92" customWidth="1"/>
    <col min="9735" max="9736" width="9.140625" style="92"/>
    <col min="9737" max="9737" width="12.7109375" style="92" bestFit="1" customWidth="1"/>
    <col min="9738" max="9985" width="9.140625" style="92"/>
    <col min="9986" max="9986" width="29.85546875" style="92" customWidth="1"/>
    <col min="9987" max="9987" width="15.7109375" style="92" customWidth="1"/>
    <col min="9988" max="9988" width="9.140625" style="92"/>
    <col min="9989" max="9989" width="11.140625" style="92" bestFit="1" customWidth="1"/>
    <col min="9990" max="9990" width="20.42578125" style="92" customWidth="1"/>
    <col min="9991" max="9992" width="9.140625" style="92"/>
    <col min="9993" max="9993" width="12.7109375" style="92" bestFit="1" customWidth="1"/>
    <col min="9994" max="10241" width="9.140625" style="92"/>
    <col min="10242" max="10242" width="29.85546875" style="92" customWidth="1"/>
    <col min="10243" max="10243" width="15.7109375" style="92" customWidth="1"/>
    <col min="10244" max="10244" width="9.140625" style="92"/>
    <col min="10245" max="10245" width="11.140625" style="92" bestFit="1" customWidth="1"/>
    <col min="10246" max="10246" width="20.42578125" style="92" customWidth="1"/>
    <col min="10247" max="10248" width="9.140625" style="92"/>
    <col min="10249" max="10249" width="12.7109375" style="92" bestFit="1" customWidth="1"/>
    <col min="10250" max="10497" width="9.140625" style="92"/>
    <col min="10498" max="10498" width="29.85546875" style="92" customWidth="1"/>
    <col min="10499" max="10499" width="15.7109375" style="92" customWidth="1"/>
    <col min="10500" max="10500" width="9.140625" style="92"/>
    <col min="10501" max="10501" width="11.140625" style="92" bestFit="1" customWidth="1"/>
    <col min="10502" max="10502" width="20.42578125" style="92" customWidth="1"/>
    <col min="10503" max="10504" width="9.140625" style="92"/>
    <col min="10505" max="10505" width="12.7109375" style="92" bestFit="1" customWidth="1"/>
    <col min="10506" max="10753" width="9.140625" style="92"/>
    <col min="10754" max="10754" width="29.85546875" style="92" customWidth="1"/>
    <col min="10755" max="10755" width="15.7109375" style="92" customWidth="1"/>
    <col min="10756" max="10756" width="9.140625" style="92"/>
    <col min="10757" max="10757" width="11.140625" style="92" bestFit="1" customWidth="1"/>
    <col min="10758" max="10758" width="20.42578125" style="92" customWidth="1"/>
    <col min="10759" max="10760" width="9.140625" style="92"/>
    <col min="10761" max="10761" width="12.7109375" style="92" bestFit="1" customWidth="1"/>
    <col min="10762" max="11009" width="9.140625" style="92"/>
    <col min="11010" max="11010" width="29.85546875" style="92" customWidth="1"/>
    <col min="11011" max="11011" width="15.7109375" style="92" customWidth="1"/>
    <col min="11012" max="11012" width="9.140625" style="92"/>
    <col min="11013" max="11013" width="11.140625" style="92" bestFit="1" customWidth="1"/>
    <col min="11014" max="11014" width="20.42578125" style="92" customWidth="1"/>
    <col min="11015" max="11016" width="9.140625" style="92"/>
    <col min="11017" max="11017" width="12.7109375" style="92" bestFit="1" customWidth="1"/>
    <col min="11018" max="11265" width="9.140625" style="92"/>
    <col min="11266" max="11266" width="29.85546875" style="92" customWidth="1"/>
    <col min="11267" max="11267" width="15.7109375" style="92" customWidth="1"/>
    <col min="11268" max="11268" width="9.140625" style="92"/>
    <col min="11269" max="11269" width="11.140625" style="92" bestFit="1" customWidth="1"/>
    <col min="11270" max="11270" width="20.42578125" style="92" customWidth="1"/>
    <col min="11271" max="11272" width="9.140625" style="92"/>
    <col min="11273" max="11273" width="12.7109375" style="92" bestFit="1" customWidth="1"/>
    <col min="11274" max="11521" width="9.140625" style="92"/>
    <col min="11522" max="11522" width="29.85546875" style="92" customWidth="1"/>
    <col min="11523" max="11523" width="15.7109375" style="92" customWidth="1"/>
    <col min="11524" max="11524" width="9.140625" style="92"/>
    <col min="11525" max="11525" width="11.140625" style="92" bestFit="1" customWidth="1"/>
    <col min="11526" max="11526" width="20.42578125" style="92" customWidth="1"/>
    <col min="11527" max="11528" width="9.140625" style="92"/>
    <col min="11529" max="11529" width="12.7109375" style="92" bestFit="1" customWidth="1"/>
    <col min="11530" max="11777" width="9.140625" style="92"/>
    <col min="11778" max="11778" width="29.85546875" style="92" customWidth="1"/>
    <col min="11779" max="11779" width="15.7109375" style="92" customWidth="1"/>
    <col min="11780" max="11780" width="9.140625" style="92"/>
    <col min="11781" max="11781" width="11.140625" style="92" bestFit="1" customWidth="1"/>
    <col min="11782" max="11782" width="20.42578125" style="92" customWidth="1"/>
    <col min="11783" max="11784" width="9.140625" style="92"/>
    <col min="11785" max="11785" width="12.7109375" style="92" bestFit="1" customWidth="1"/>
    <col min="11786" max="12033" width="9.140625" style="92"/>
    <col min="12034" max="12034" width="29.85546875" style="92" customWidth="1"/>
    <col min="12035" max="12035" width="15.7109375" style="92" customWidth="1"/>
    <col min="12036" max="12036" width="9.140625" style="92"/>
    <col min="12037" max="12037" width="11.140625" style="92" bestFit="1" customWidth="1"/>
    <col min="12038" max="12038" width="20.42578125" style="92" customWidth="1"/>
    <col min="12039" max="12040" width="9.140625" style="92"/>
    <col min="12041" max="12041" width="12.7109375" style="92" bestFit="1" customWidth="1"/>
    <col min="12042" max="12289" width="9.140625" style="92"/>
    <col min="12290" max="12290" width="29.85546875" style="92" customWidth="1"/>
    <col min="12291" max="12291" width="15.7109375" style="92" customWidth="1"/>
    <col min="12292" max="12292" width="9.140625" style="92"/>
    <col min="12293" max="12293" width="11.140625" style="92" bestFit="1" customWidth="1"/>
    <col min="12294" max="12294" width="20.42578125" style="92" customWidth="1"/>
    <col min="12295" max="12296" width="9.140625" style="92"/>
    <col min="12297" max="12297" width="12.7109375" style="92" bestFit="1" customWidth="1"/>
    <col min="12298" max="12545" width="9.140625" style="92"/>
    <col min="12546" max="12546" width="29.85546875" style="92" customWidth="1"/>
    <col min="12547" max="12547" width="15.7109375" style="92" customWidth="1"/>
    <col min="12548" max="12548" width="9.140625" style="92"/>
    <col min="12549" max="12549" width="11.140625" style="92" bestFit="1" customWidth="1"/>
    <col min="12550" max="12550" width="20.42578125" style="92" customWidth="1"/>
    <col min="12551" max="12552" width="9.140625" style="92"/>
    <col min="12553" max="12553" width="12.7109375" style="92" bestFit="1" customWidth="1"/>
    <col min="12554" max="12801" width="9.140625" style="92"/>
    <col min="12802" max="12802" width="29.85546875" style="92" customWidth="1"/>
    <col min="12803" max="12803" width="15.7109375" style="92" customWidth="1"/>
    <col min="12804" max="12804" width="9.140625" style="92"/>
    <col min="12805" max="12805" width="11.140625" style="92" bestFit="1" customWidth="1"/>
    <col min="12806" max="12806" width="20.42578125" style="92" customWidth="1"/>
    <col min="12807" max="12808" width="9.140625" style="92"/>
    <col min="12809" max="12809" width="12.7109375" style="92" bestFit="1" customWidth="1"/>
    <col min="12810" max="13057" width="9.140625" style="92"/>
    <col min="13058" max="13058" width="29.85546875" style="92" customWidth="1"/>
    <col min="13059" max="13059" width="15.7109375" style="92" customWidth="1"/>
    <col min="13060" max="13060" width="9.140625" style="92"/>
    <col min="13061" max="13061" width="11.140625" style="92" bestFit="1" customWidth="1"/>
    <col min="13062" max="13062" width="20.42578125" style="92" customWidth="1"/>
    <col min="13063" max="13064" width="9.140625" style="92"/>
    <col min="13065" max="13065" width="12.7109375" style="92" bestFit="1" customWidth="1"/>
    <col min="13066" max="13313" width="9.140625" style="92"/>
    <col min="13314" max="13314" width="29.85546875" style="92" customWidth="1"/>
    <col min="13315" max="13315" width="15.7109375" style="92" customWidth="1"/>
    <col min="13316" max="13316" width="9.140625" style="92"/>
    <col min="13317" max="13317" width="11.140625" style="92" bestFit="1" customWidth="1"/>
    <col min="13318" max="13318" width="20.42578125" style="92" customWidth="1"/>
    <col min="13319" max="13320" width="9.140625" style="92"/>
    <col min="13321" max="13321" width="12.7109375" style="92" bestFit="1" customWidth="1"/>
    <col min="13322" max="13569" width="9.140625" style="92"/>
    <col min="13570" max="13570" width="29.85546875" style="92" customWidth="1"/>
    <col min="13571" max="13571" width="15.7109375" style="92" customWidth="1"/>
    <col min="13572" max="13572" width="9.140625" style="92"/>
    <col min="13573" max="13573" width="11.140625" style="92" bestFit="1" customWidth="1"/>
    <col min="13574" max="13574" width="20.42578125" style="92" customWidth="1"/>
    <col min="13575" max="13576" width="9.140625" style="92"/>
    <col min="13577" max="13577" width="12.7109375" style="92" bestFit="1" customWidth="1"/>
    <col min="13578" max="13825" width="9.140625" style="92"/>
    <col min="13826" max="13826" width="29.85546875" style="92" customWidth="1"/>
    <col min="13827" max="13827" width="15.7109375" style="92" customWidth="1"/>
    <col min="13828" max="13828" width="9.140625" style="92"/>
    <col min="13829" max="13829" width="11.140625" style="92" bestFit="1" customWidth="1"/>
    <col min="13830" max="13830" width="20.42578125" style="92" customWidth="1"/>
    <col min="13831" max="13832" width="9.140625" style="92"/>
    <col min="13833" max="13833" width="12.7109375" style="92" bestFit="1" customWidth="1"/>
    <col min="13834" max="14081" width="9.140625" style="92"/>
    <col min="14082" max="14082" width="29.85546875" style="92" customWidth="1"/>
    <col min="14083" max="14083" width="15.7109375" style="92" customWidth="1"/>
    <col min="14084" max="14084" width="9.140625" style="92"/>
    <col min="14085" max="14085" width="11.140625" style="92" bestFit="1" customWidth="1"/>
    <col min="14086" max="14086" width="20.42578125" style="92" customWidth="1"/>
    <col min="14087" max="14088" width="9.140625" style="92"/>
    <col min="14089" max="14089" width="12.7109375" style="92" bestFit="1" customWidth="1"/>
    <col min="14090" max="14337" width="9.140625" style="92"/>
    <col min="14338" max="14338" width="29.85546875" style="92" customWidth="1"/>
    <col min="14339" max="14339" width="15.7109375" style="92" customWidth="1"/>
    <col min="14340" max="14340" width="9.140625" style="92"/>
    <col min="14341" max="14341" width="11.140625" style="92" bestFit="1" customWidth="1"/>
    <col min="14342" max="14342" width="20.42578125" style="92" customWidth="1"/>
    <col min="14343" max="14344" width="9.140625" style="92"/>
    <col min="14345" max="14345" width="12.7109375" style="92" bestFit="1" customWidth="1"/>
    <col min="14346" max="14593" width="9.140625" style="92"/>
    <col min="14594" max="14594" width="29.85546875" style="92" customWidth="1"/>
    <col min="14595" max="14595" width="15.7109375" style="92" customWidth="1"/>
    <col min="14596" max="14596" width="9.140625" style="92"/>
    <col min="14597" max="14597" width="11.140625" style="92" bestFit="1" customWidth="1"/>
    <col min="14598" max="14598" width="20.42578125" style="92" customWidth="1"/>
    <col min="14599" max="14600" width="9.140625" style="92"/>
    <col min="14601" max="14601" width="12.7109375" style="92" bestFit="1" customWidth="1"/>
    <col min="14602" max="14849" width="9.140625" style="92"/>
    <col min="14850" max="14850" width="29.85546875" style="92" customWidth="1"/>
    <col min="14851" max="14851" width="15.7109375" style="92" customWidth="1"/>
    <col min="14852" max="14852" width="9.140625" style="92"/>
    <col min="14853" max="14853" width="11.140625" style="92" bestFit="1" customWidth="1"/>
    <col min="14854" max="14854" width="20.42578125" style="92" customWidth="1"/>
    <col min="14855" max="14856" width="9.140625" style="92"/>
    <col min="14857" max="14857" width="12.7109375" style="92" bestFit="1" customWidth="1"/>
    <col min="14858" max="15105" width="9.140625" style="92"/>
    <col min="15106" max="15106" width="29.85546875" style="92" customWidth="1"/>
    <col min="15107" max="15107" width="15.7109375" style="92" customWidth="1"/>
    <col min="15108" max="15108" width="9.140625" style="92"/>
    <col min="15109" max="15109" width="11.140625" style="92" bestFit="1" customWidth="1"/>
    <col min="15110" max="15110" width="20.42578125" style="92" customWidth="1"/>
    <col min="15111" max="15112" width="9.140625" style="92"/>
    <col min="15113" max="15113" width="12.7109375" style="92" bestFit="1" customWidth="1"/>
    <col min="15114" max="15361" width="9.140625" style="92"/>
    <col min="15362" max="15362" width="29.85546875" style="92" customWidth="1"/>
    <col min="15363" max="15363" width="15.7109375" style="92" customWidth="1"/>
    <col min="15364" max="15364" width="9.140625" style="92"/>
    <col min="15365" max="15365" width="11.140625" style="92" bestFit="1" customWidth="1"/>
    <col min="15366" max="15366" width="20.42578125" style="92" customWidth="1"/>
    <col min="15367" max="15368" width="9.140625" style="92"/>
    <col min="15369" max="15369" width="12.7109375" style="92" bestFit="1" customWidth="1"/>
    <col min="15370" max="15617" width="9.140625" style="92"/>
    <col min="15618" max="15618" width="29.85546875" style="92" customWidth="1"/>
    <col min="15619" max="15619" width="15.7109375" style="92" customWidth="1"/>
    <col min="15620" max="15620" width="9.140625" style="92"/>
    <col min="15621" max="15621" width="11.140625" style="92" bestFit="1" customWidth="1"/>
    <col min="15622" max="15622" width="20.42578125" style="92" customWidth="1"/>
    <col min="15623" max="15624" width="9.140625" style="92"/>
    <col min="15625" max="15625" width="12.7109375" style="92" bestFit="1" customWidth="1"/>
    <col min="15626" max="15873" width="9.140625" style="92"/>
    <col min="15874" max="15874" width="29.85546875" style="92" customWidth="1"/>
    <col min="15875" max="15875" width="15.7109375" style="92" customWidth="1"/>
    <col min="15876" max="15876" width="9.140625" style="92"/>
    <col min="15877" max="15877" width="11.140625" style="92" bestFit="1" customWidth="1"/>
    <col min="15878" max="15878" width="20.42578125" style="92" customWidth="1"/>
    <col min="15879" max="15880" width="9.140625" style="92"/>
    <col min="15881" max="15881" width="12.7109375" style="92" bestFit="1" customWidth="1"/>
    <col min="15882" max="16129" width="9.140625" style="92"/>
    <col min="16130" max="16130" width="29.85546875" style="92" customWidth="1"/>
    <col min="16131" max="16131" width="15.7109375" style="92" customWidth="1"/>
    <col min="16132" max="16132" width="9.140625" style="92"/>
    <col min="16133" max="16133" width="11.140625" style="92" bestFit="1" customWidth="1"/>
    <col min="16134" max="16134" width="20.42578125" style="92" customWidth="1"/>
    <col min="16135" max="16136" width="9.140625" style="92"/>
    <col min="16137" max="16137" width="12.7109375" style="92" bestFit="1" customWidth="1"/>
    <col min="16138" max="16384" width="9.140625" style="92"/>
  </cols>
  <sheetData>
    <row r="3" spans="2:9">
      <c r="B3" s="86" t="s">
        <v>2389</v>
      </c>
    </row>
    <row r="4" spans="2:9">
      <c r="B4" s="93" t="s">
        <v>2390</v>
      </c>
      <c r="C4" s="94">
        <f>('[11]форма 1'!$H$58+'[11]форма 1'!$H$80+'[11]форма 1'!$H$81+'[11]форма 1'!$H$82)*1000</f>
        <v>1656335300.2784002</v>
      </c>
      <c r="F4" s="92" t="s">
        <v>2391</v>
      </c>
      <c r="I4" s="91">
        <f>[12]свод!$D$142</f>
        <v>1776399469.7</v>
      </c>
    </row>
    <row r="5" spans="2:9">
      <c r="B5" s="93" t="s">
        <v>2392</v>
      </c>
      <c r="C5" s="94">
        <f>'[11]форма 1'!$H$99*1000</f>
        <v>6570321952.4057875</v>
      </c>
      <c r="F5" s="92" t="s">
        <v>2393</v>
      </c>
    </row>
    <row r="6" spans="2:9">
      <c r="B6" s="94" t="s">
        <v>2394</v>
      </c>
      <c r="C6" s="94">
        <f>'[11]форма 1'!$H$130*1000</f>
        <v>1000000000</v>
      </c>
      <c r="E6" s="91"/>
      <c r="F6" s="92" t="s">
        <v>2395</v>
      </c>
      <c r="I6" s="91">
        <f>[12]свод!$D$5</f>
        <v>1702796657</v>
      </c>
    </row>
    <row r="7" spans="2:9">
      <c r="B7" s="93" t="s">
        <v>2396</v>
      </c>
      <c r="C7" s="94">
        <f>'[11]форма 1'!$H$100*1000</f>
        <v>209134999.66666666</v>
      </c>
      <c r="E7" s="91"/>
      <c r="I7" s="91">
        <f>I4-I6</f>
        <v>73602812.700000048</v>
      </c>
    </row>
    <row r="8" spans="2:9">
      <c r="B8" s="93" t="s">
        <v>2397</v>
      </c>
      <c r="C8" s="94">
        <f>'[11]форма 1'!$H$110*1000</f>
        <v>554625000</v>
      </c>
      <c r="E8" s="91"/>
      <c r="F8" s="92" t="s">
        <v>2398</v>
      </c>
      <c r="I8" s="91">
        <f>'[13]Приложение 1'!X10</f>
        <v>73602812.699999988</v>
      </c>
    </row>
    <row r="9" spans="2:9">
      <c r="B9" s="93" t="s">
        <v>2399</v>
      </c>
      <c r="C9" s="94">
        <f>'[14]Прочие расходы'!$B$13</f>
        <v>26174290</v>
      </c>
      <c r="E9" s="91"/>
      <c r="I9" s="91">
        <f>I7-I8</f>
        <v>0</v>
      </c>
    </row>
    <row r="10" spans="2:9">
      <c r="B10" s="93" t="s">
        <v>2400</v>
      </c>
      <c r="C10" s="94">
        <f>'[14]Прочие расходы'!$B$12+[14]связь!$B$16</f>
        <v>5460000</v>
      </c>
      <c r="E10" s="91"/>
    </row>
    <row r="11" spans="2:9">
      <c r="B11" s="93" t="s">
        <v>2401</v>
      </c>
      <c r="C11" s="94">
        <f>'[14]Прочие расходы'!$B$11</f>
        <v>120000</v>
      </c>
      <c r="E11" s="91"/>
    </row>
    <row r="12" spans="2:9">
      <c r="B12" s="93" t="s">
        <v>2402</v>
      </c>
      <c r="C12" s="94">
        <f>'[11]форма 1'!$H$132*1000</f>
        <v>89274130.400000006</v>
      </c>
      <c r="E12" s="91"/>
    </row>
    <row r="13" spans="2:9">
      <c r="B13" s="93" t="s">
        <v>2403</v>
      </c>
      <c r="C13" s="94">
        <f>('[11]форма 1'!$H$118+'[11]форма 1'!$H$119)*1000</f>
        <v>145220537.755</v>
      </c>
      <c r="E13" s="91"/>
    </row>
    <row r="14" spans="2:9">
      <c r="B14" s="93" t="s">
        <v>2404</v>
      </c>
      <c r="C14" s="94">
        <f>'[11]форма 1'!$H$142*1000</f>
        <v>16000000</v>
      </c>
      <c r="E14" s="91"/>
    </row>
    <row r="15" spans="2:9">
      <c r="B15" s="93" t="s">
        <v>2405</v>
      </c>
      <c r="C15" s="94">
        <v>10000000</v>
      </c>
      <c r="E15" s="91"/>
    </row>
    <row r="16" spans="2:9">
      <c r="B16" s="93" t="s">
        <v>2406</v>
      </c>
      <c r="C16" s="94">
        <f>[14]банк!$G$12</f>
        <v>5600000</v>
      </c>
      <c r="E16" s="91">
        <f>C16+C17+[15]Банк!$F$54</f>
        <v>14507064</v>
      </c>
    </row>
    <row r="17" spans="2:5">
      <c r="B17" s="93" t="s">
        <v>2407</v>
      </c>
      <c r="C17" s="94">
        <f>[15]Банк!$E$54</f>
        <v>6120000</v>
      </c>
      <c r="E17" s="91"/>
    </row>
    <row r="18" spans="2:5">
      <c r="B18" s="93" t="s">
        <v>2408</v>
      </c>
      <c r="C18" s="94">
        <f>'[11]форма 1'!$H$135*1000</f>
        <v>12276878</v>
      </c>
      <c r="E18" s="91"/>
    </row>
    <row r="19" spans="2:5">
      <c r="B19" s="93" t="s">
        <v>2409</v>
      </c>
      <c r="C19" s="94">
        <f>'[11]форма 1'!$H$140*1000</f>
        <v>3322000</v>
      </c>
      <c r="E19" s="91"/>
    </row>
    <row r="20" spans="2:5">
      <c r="B20" s="93" t="s">
        <v>2410</v>
      </c>
      <c r="C20" s="94">
        <f>'[14]Прочие расходы'!$B$52+[15]материалы!$E$5</f>
        <v>3652080</v>
      </c>
      <c r="E20" s="91"/>
    </row>
    <row r="21" spans="2:5">
      <c r="B21" s="93" t="s">
        <v>2411</v>
      </c>
      <c r="C21" s="94">
        <f>'[14]Прочие услуги'!$B$38-300000-36000-1000000</f>
        <v>1664000</v>
      </c>
      <c r="E21" s="91"/>
    </row>
    <row r="22" spans="2:5" s="86" customFormat="1">
      <c r="B22" s="84"/>
      <c r="C22" s="85">
        <f>SUM(C4:C21)</f>
        <v>10315301168.505854</v>
      </c>
      <c r="E22" s="87"/>
    </row>
    <row r="23" spans="2:5">
      <c r="B23" s="95"/>
      <c r="C23" s="96"/>
      <c r="E23" s="91"/>
    </row>
    <row r="24" spans="2:5">
      <c r="B24" s="91" t="s">
        <v>2412</v>
      </c>
      <c r="C24" s="91">
        <f>'[11]форма 1'!$H$152*1000</f>
        <v>11804824137.616301</v>
      </c>
    </row>
    <row r="25" spans="2:5">
      <c r="C25" s="97">
        <f>C24-C22</f>
        <v>1489522969.1104469</v>
      </c>
      <c r="E25" s="91">
        <f>C25-C26</f>
        <v>38674524.32667613</v>
      </c>
    </row>
    <row r="26" spans="2:5">
      <c r="B26" s="92" t="s">
        <v>2413</v>
      </c>
      <c r="C26" s="91">
        <f>'Приложение 1'!V1577</f>
        <v>1450848444.7837708</v>
      </c>
    </row>
    <row r="27" spans="2:5">
      <c r="B27" s="92" t="s">
        <v>2414</v>
      </c>
      <c r="C27" s="91">
        <f>'[13]Приложение 1'!U698-I8</f>
        <v>44399867.335000008</v>
      </c>
    </row>
    <row r="28" spans="2:5">
      <c r="C28" s="91">
        <f>C26+C27</f>
        <v>1495248312.1187708</v>
      </c>
    </row>
    <row r="29" spans="2:5">
      <c r="C29" s="88">
        <f>C28-C25</f>
        <v>5725343.0083239079</v>
      </c>
    </row>
    <row r="33" spans="2:2">
      <c r="B33" s="91"/>
    </row>
    <row r="35" spans="2:2">
      <c r="B35" s="91"/>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AK59"/>
  <sheetViews>
    <sheetView view="pageBreakPreview" topLeftCell="A35" zoomScaleNormal="100" zoomScaleSheetLayoutView="100" workbookViewId="0">
      <selection activeCell="C52" sqref="C52:M53"/>
    </sheetView>
  </sheetViews>
  <sheetFormatPr defaultRowHeight="15.75"/>
  <cols>
    <col min="1" max="1" width="9.140625" style="1"/>
    <col min="2" max="2" width="16.85546875" style="1" customWidth="1"/>
    <col min="3" max="3" width="17.28515625" style="1" customWidth="1"/>
    <col min="4" max="4" width="23.140625" style="1" customWidth="1"/>
    <col min="5" max="5" width="23.5703125" style="1" customWidth="1"/>
    <col min="6" max="6" width="27.5703125" style="1" customWidth="1"/>
    <col min="7" max="7" width="26" style="1" customWidth="1"/>
    <col min="8" max="8" width="24.42578125" style="1" customWidth="1"/>
    <col min="9" max="9" width="26.42578125" style="1" customWidth="1"/>
    <col min="10" max="10" width="22.140625" style="1" customWidth="1"/>
    <col min="11" max="11" width="20.28515625" style="1" customWidth="1"/>
    <col min="12" max="12" width="18" style="1" customWidth="1"/>
    <col min="13" max="16384" width="9.140625" style="1"/>
  </cols>
  <sheetData>
    <row r="1" spans="2:37">
      <c r="E1" s="2"/>
      <c r="F1" s="2"/>
      <c r="G1" s="28" t="s">
        <v>79</v>
      </c>
      <c r="K1" s="2"/>
      <c r="L1" s="2"/>
      <c r="M1" s="2"/>
      <c r="N1" s="2"/>
      <c r="Q1" s="2"/>
      <c r="S1" s="2"/>
      <c r="U1" s="4"/>
      <c r="V1" s="5"/>
    </row>
    <row r="2" spans="2:37">
      <c r="E2" s="2"/>
      <c r="F2" s="2"/>
      <c r="G2" s="28" t="s">
        <v>0</v>
      </c>
      <c r="K2" s="2"/>
      <c r="L2" s="2"/>
      <c r="M2" s="2"/>
      <c r="N2" s="2"/>
      <c r="Q2" s="2"/>
      <c r="S2" s="2"/>
      <c r="U2" s="3"/>
      <c r="V2" s="2"/>
    </row>
    <row r="3" spans="2:37">
      <c r="G3" s="28" t="s">
        <v>1</v>
      </c>
      <c r="U3" s="3"/>
      <c r="V3" s="2"/>
      <c r="W3" s="2"/>
      <c r="X3" s="2"/>
      <c r="Y3" s="2"/>
      <c r="Z3" s="2"/>
      <c r="AA3" s="2"/>
      <c r="AB3" s="2"/>
      <c r="AC3" s="2"/>
      <c r="AD3" s="2"/>
      <c r="AE3" s="2"/>
      <c r="AF3" s="2"/>
      <c r="AG3" s="2"/>
      <c r="AH3" s="2"/>
      <c r="AI3" s="2"/>
      <c r="AJ3" s="2"/>
      <c r="AK3" s="2"/>
    </row>
    <row r="4" spans="2:37">
      <c r="B4" s="218"/>
      <c r="C4" s="218"/>
      <c r="G4" s="28" t="s">
        <v>87</v>
      </c>
      <c r="U4" s="3"/>
      <c r="V4" s="2"/>
      <c r="W4" s="2"/>
      <c r="X4" s="2"/>
      <c r="Y4" s="2"/>
      <c r="Z4" s="2"/>
      <c r="AA4" s="2"/>
      <c r="AB4" s="2"/>
      <c r="AC4" s="2"/>
      <c r="AD4" s="2"/>
      <c r="AE4" s="2"/>
      <c r="AF4" s="2"/>
      <c r="AG4" s="2"/>
      <c r="AH4" s="2"/>
      <c r="AI4" s="2"/>
      <c r="AJ4" s="2"/>
      <c r="AK4" s="2"/>
    </row>
    <row r="5" spans="2:37">
      <c r="B5" s="218"/>
      <c r="C5" s="218"/>
      <c r="D5" s="219" t="s">
        <v>2</v>
      </c>
      <c r="E5" s="219"/>
      <c r="F5" s="219"/>
      <c r="G5" s="219"/>
      <c r="H5" s="219"/>
      <c r="I5" s="219"/>
      <c r="J5" s="219"/>
      <c r="K5" s="219"/>
      <c r="L5" s="219"/>
      <c r="M5" s="219"/>
      <c r="N5" s="219"/>
      <c r="O5" s="219"/>
      <c r="P5" s="219"/>
      <c r="Q5" s="219"/>
      <c r="R5" s="219"/>
      <c r="S5" s="219"/>
      <c r="T5" s="219"/>
      <c r="U5" s="219"/>
      <c r="V5" s="219"/>
    </row>
    <row r="6" spans="2:37" ht="12.75" customHeight="1">
      <c r="D6" s="3"/>
      <c r="E6" s="3"/>
      <c r="F6" s="3"/>
      <c r="G6" s="35" t="s">
        <v>34</v>
      </c>
      <c r="I6" s="3"/>
      <c r="J6" s="3"/>
      <c r="K6" s="3"/>
      <c r="L6" s="3"/>
      <c r="M6" s="3"/>
      <c r="N6" s="3"/>
      <c r="O6" s="220"/>
      <c r="P6" s="220"/>
      <c r="Q6" s="220"/>
      <c r="R6" s="220"/>
      <c r="S6" s="220"/>
      <c r="T6" s="220"/>
      <c r="U6" s="220"/>
      <c r="V6" s="220"/>
    </row>
    <row r="7" spans="2:37">
      <c r="D7" s="3"/>
      <c r="E7" s="3"/>
      <c r="F7" s="3"/>
      <c r="G7" s="3"/>
      <c r="I7" s="3"/>
      <c r="J7" s="3"/>
      <c r="K7" s="3"/>
      <c r="L7" s="3"/>
      <c r="M7" s="3"/>
      <c r="N7" s="3"/>
      <c r="O7" s="3"/>
      <c r="Q7" s="36"/>
      <c r="R7" s="36"/>
      <c r="S7" s="36"/>
    </row>
    <row r="8" spans="2:37">
      <c r="J8" s="2"/>
      <c r="K8" s="2"/>
      <c r="L8" s="2"/>
      <c r="M8" s="2"/>
      <c r="N8" s="2"/>
      <c r="O8" s="2"/>
      <c r="P8" s="2"/>
      <c r="Q8" s="2"/>
    </row>
    <row r="9" spans="2:37">
      <c r="D9" s="219" t="s">
        <v>2</v>
      </c>
      <c r="E9" s="219"/>
      <c r="F9" s="219"/>
      <c r="G9" s="219"/>
      <c r="H9" s="219"/>
      <c r="I9" s="219"/>
      <c r="J9" s="219"/>
      <c r="K9" s="219"/>
    </row>
    <row r="10" spans="2:37">
      <c r="B10" s="9" t="s">
        <v>33</v>
      </c>
    </row>
    <row r="11" spans="2:37">
      <c r="B11" s="9" t="s">
        <v>35</v>
      </c>
    </row>
    <row r="12" spans="2:37">
      <c r="B12" s="9" t="s">
        <v>84</v>
      </c>
      <c r="D12" s="221"/>
      <c r="E12" s="221"/>
      <c r="F12" s="221"/>
      <c r="G12" s="221"/>
      <c r="H12" s="221"/>
      <c r="I12" s="221"/>
      <c r="J12" s="221"/>
      <c r="K12" s="221"/>
    </row>
    <row r="13" spans="2:37">
      <c r="D13" s="222"/>
      <c r="E13" s="222"/>
      <c r="F13" s="222"/>
      <c r="G13" s="222"/>
      <c r="H13" s="222"/>
      <c r="I13" s="222"/>
      <c r="J13" s="222"/>
      <c r="K13" s="222"/>
    </row>
    <row r="14" spans="2:37">
      <c r="B14" s="223" t="s">
        <v>78</v>
      </c>
      <c r="C14" s="223"/>
      <c r="D14" s="223"/>
      <c r="E14" s="223"/>
      <c r="F14" s="223"/>
      <c r="G14" s="223"/>
      <c r="H14" s="223"/>
      <c r="I14" s="223"/>
      <c r="J14" s="223"/>
      <c r="K14" s="223"/>
    </row>
    <row r="15" spans="2:37" ht="16.5" thickBot="1">
      <c r="D15" s="24"/>
      <c r="E15" s="24"/>
      <c r="F15" s="24"/>
      <c r="G15" s="24"/>
      <c r="H15" s="24"/>
      <c r="I15" s="204"/>
      <c r="J15" s="204"/>
      <c r="K15" s="204"/>
    </row>
    <row r="16" spans="2:37" ht="12.75" customHeight="1">
      <c r="B16" s="214" t="s">
        <v>3</v>
      </c>
      <c r="C16" s="214" t="s">
        <v>36</v>
      </c>
      <c r="D16" s="214" t="s">
        <v>4</v>
      </c>
      <c r="E16" s="214" t="s">
        <v>37</v>
      </c>
      <c r="F16" s="214" t="s">
        <v>38</v>
      </c>
      <c r="G16" s="214" t="s">
        <v>14</v>
      </c>
      <c r="H16" s="214" t="s">
        <v>15</v>
      </c>
      <c r="I16" s="214" t="s">
        <v>16</v>
      </c>
      <c r="J16" s="216" t="s">
        <v>17</v>
      </c>
      <c r="K16" s="214" t="s">
        <v>18</v>
      </c>
    </row>
    <row r="17" spans="2:11" ht="51" customHeight="1" thickBot="1">
      <c r="B17" s="215"/>
      <c r="C17" s="215"/>
      <c r="D17" s="215"/>
      <c r="E17" s="215"/>
      <c r="F17" s="215"/>
      <c r="G17" s="215"/>
      <c r="H17" s="215"/>
      <c r="I17" s="215"/>
      <c r="J17" s="217"/>
      <c r="K17" s="215"/>
    </row>
    <row r="18" spans="2:11" s="37" customFormat="1" ht="12.75" customHeight="1">
      <c r="B18" s="47">
        <v>1</v>
      </c>
      <c r="C18" s="47">
        <v>2</v>
      </c>
      <c r="D18" s="47">
        <v>3</v>
      </c>
      <c r="E18" s="47">
        <v>4</v>
      </c>
      <c r="F18" s="47">
        <v>5</v>
      </c>
      <c r="G18" s="47">
        <v>6</v>
      </c>
      <c r="H18" s="47">
        <v>7</v>
      </c>
      <c r="I18" s="47">
        <v>8</v>
      </c>
      <c r="J18" s="48">
        <v>9</v>
      </c>
      <c r="K18" s="49">
        <v>10</v>
      </c>
    </row>
    <row r="19" spans="2:11">
      <c r="B19" s="212" t="s">
        <v>20</v>
      </c>
      <c r="C19" s="212"/>
      <c r="D19" s="212"/>
      <c r="E19" s="212"/>
      <c r="F19" s="212"/>
      <c r="G19" s="212"/>
      <c r="H19" s="212"/>
      <c r="I19" s="212"/>
      <c r="J19" s="213"/>
      <c r="K19" s="38"/>
    </row>
    <row r="20" spans="2:11">
      <c r="B20" s="28"/>
      <c r="C20" s="14"/>
      <c r="D20" s="14"/>
      <c r="E20" s="14"/>
      <c r="F20" s="14"/>
      <c r="G20" s="14"/>
      <c r="H20" s="14"/>
      <c r="I20" s="14"/>
      <c r="J20" s="15"/>
      <c r="K20" s="38"/>
    </row>
    <row r="21" spans="2:11" s="39" customFormat="1" ht="47.25">
      <c r="B21" s="40" t="s">
        <v>39</v>
      </c>
      <c r="C21" s="41" t="s">
        <v>22</v>
      </c>
      <c r="D21" s="41"/>
      <c r="E21" s="41"/>
      <c r="F21" s="41"/>
      <c r="G21" s="41"/>
      <c r="H21" s="41" t="s">
        <v>22</v>
      </c>
      <c r="I21" s="41"/>
      <c r="J21" s="42"/>
      <c r="K21" s="18" t="s">
        <v>22</v>
      </c>
    </row>
    <row r="22" spans="2:11">
      <c r="B22" s="43"/>
      <c r="C22" s="43"/>
      <c r="D22" s="41"/>
      <c r="E22" s="41"/>
      <c r="F22" s="41"/>
      <c r="G22" s="41"/>
      <c r="H22" s="41"/>
      <c r="I22" s="41"/>
      <c r="J22" s="42"/>
      <c r="K22" s="38"/>
    </row>
    <row r="23" spans="2:11">
      <c r="B23" s="205" t="s">
        <v>21</v>
      </c>
      <c r="C23" s="206"/>
      <c r="D23" s="207"/>
      <c r="E23" s="41" t="s">
        <v>22</v>
      </c>
      <c r="F23" s="41" t="s">
        <v>22</v>
      </c>
      <c r="G23" s="41" t="s">
        <v>22</v>
      </c>
      <c r="H23" s="41" t="s">
        <v>22</v>
      </c>
      <c r="I23" s="41"/>
      <c r="J23" s="42"/>
      <c r="K23" s="18" t="s">
        <v>22</v>
      </c>
    </row>
    <row r="24" spans="2:11">
      <c r="B24" s="208" t="s">
        <v>23</v>
      </c>
      <c r="C24" s="208"/>
      <c r="D24" s="208"/>
      <c r="E24" s="208"/>
      <c r="F24" s="208"/>
      <c r="G24" s="208"/>
      <c r="H24" s="208"/>
      <c r="I24" s="208"/>
      <c r="J24" s="209"/>
      <c r="K24" s="38"/>
    </row>
    <row r="25" spans="2:11">
      <c r="B25" s="44"/>
      <c r="C25" s="44"/>
      <c r="D25" s="44"/>
      <c r="E25" s="44"/>
      <c r="F25" s="44"/>
      <c r="G25" s="44"/>
      <c r="H25" s="44"/>
      <c r="I25" s="44"/>
      <c r="J25" s="45"/>
      <c r="K25" s="38"/>
    </row>
    <row r="26" spans="2:11" s="39" customFormat="1" ht="47.25">
      <c r="B26" s="40" t="s">
        <v>39</v>
      </c>
      <c r="C26" s="41" t="s">
        <v>22</v>
      </c>
      <c r="D26" s="41"/>
      <c r="E26" s="41"/>
      <c r="F26" s="41" t="s">
        <v>22</v>
      </c>
      <c r="G26" s="41" t="s">
        <v>22</v>
      </c>
      <c r="H26" s="41" t="s">
        <v>22</v>
      </c>
      <c r="I26" s="41"/>
      <c r="J26" s="42"/>
      <c r="K26" s="18" t="s">
        <v>22</v>
      </c>
    </row>
    <row r="27" spans="2:11">
      <c r="B27" s="43"/>
      <c r="C27" s="43"/>
      <c r="D27" s="41"/>
      <c r="E27" s="41"/>
      <c r="F27" s="41"/>
      <c r="G27" s="41"/>
      <c r="H27" s="41"/>
      <c r="I27" s="41"/>
      <c r="J27" s="42"/>
      <c r="K27" s="38"/>
    </row>
    <row r="28" spans="2:11">
      <c r="B28" s="205" t="s">
        <v>24</v>
      </c>
      <c r="C28" s="206"/>
      <c r="D28" s="207"/>
      <c r="E28" s="41" t="s">
        <v>22</v>
      </c>
      <c r="F28" s="41" t="s">
        <v>22</v>
      </c>
      <c r="G28" s="41" t="s">
        <v>22</v>
      </c>
      <c r="H28" s="41" t="s">
        <v>22</v>
      </c>
      <c r="I28" s="41"/>
      <c r="J28" s="42"/>
      <c r="K28" s="18" t="s">
        <v>22</v>
      </c>
    </row>
    <row r="29" spans="2:11">
      <c r="B29" s="208" t="s">
        <v>25</v>
      </c>
      <c r="C29" s="208"/>
      <c r="D29" s="208"/>
      <c r="E29" s="208"/>
      <c r="F29" s="208"/>
      <c r="G29" s="208"/>
      <c r="H29" s="208"/>
      <c r="I29" s="208"/>
      <c r="J29" s="209"/>
      <c r="K29" s="38"/>
    </row>
    <row r="30" spans="2:11">
      <c r="B30" s="44"/>
      <c r="C30" s="44"/>
      <c r="D30" s="44"/>
      <c r="E30" s="44"/>
      <c r="F30" s="44"/>
      <c r="G30" s="44"/>
      <c r="H30" s="44"/>
      <c r="I30" s="44"/>
      <c r="J30" s="45"/>
      <c r="K30" s="38"/>
    </row>
    <row r="31" spans="2:11" s="39" customFormat="1" ht="47.25">
      <c r="B31" s="40" t="s">
        <v>39</v>
      </c>
      <c r="C31" s="41" t="s">
        <v>22</v>
      </c>
      <c r="D31" s="41"/>
      <c r="E31" s="41"/>
      <c r="F31" s="41" t="s">
        <v>22</v>
      </c>
      <c r="G31" s="41" t="s">
        <v>22</v>
      </c>
      <c r="H31" s="41" t="s">
        <v>22</v>
      </c>
      <c r="I31" s="41"/>
      <c r="J31" s="42"/>
      <c r="K31" s="18" t="s">
        <v>22</v>
      </c>
    </row>
    <row r="32" spans="2:11">
      <c r="B32" s="43"/>
      <c r="C32" s="43"/>
      <c r="D32" s="41"/>
      <c r="E32" s="41"/>
      <c r="F32" s="41"/>
      <c r="G32" s="41"/>
      <c r="H32" s="41"/>
      <c r="I32" s="41"/>
      <c r="J32" s="42"/>
      <c r="K32" s="38"/>
    </row>
    <row r="33" spans="2:26">
      <c r="B33" s="205" t="s">
        <v>29</v>
      </c>
      <c r="C33" s="206"/>
      <c r="D33" s="207"/>
      <c r="E33" s="41" t="s">
        <v>22</v>
      </c>
      <c r="F33" s="41" t="s">
        <v>22</v>
      </c>
      <c r="G33" s="41" t="s">
        <v>22</v>
      </c>
      <c r="H33" s="41" t="s">
        <v>22</v>
      </c>
      <c r="I33" s="41"/>
      <c r="J33" s="42"/>
      <c r="K33" s="18" t="s">
        <v>22</v>
      </c>
    </row>
    <row r="34" spans="2:26">
      <c r="B34" s="40"/>
      <c r="C34" s="40"/>
      <c r="D34" s="40"/>
      <c r="E34" s="41"/>
      <c r="F34" s="41"/>
      <c r="G34" s="41"/>
      <c r="H34" s="41"/>
      <c r="I34" s="41"/>
      <c r="J34" s="42"/>
      <c r="K34" s="38"/>
    </row>
    <row r="35" spans="2:26">
      <c r="B35" s="38"/>
      <c r="C35" s="38"/>
      <c r="D35" s="18"/>
      <c r="E35" s="18"/>
      <c r="F35" s="18"/>
      <c r="G35" s="18"/>
      <c r="H35" s="18"/>
      <c r="I35" s="18"/>
      <c r="J35" s="19"/>
      <c r="K35" s="38"/>
    </row>
    <row r="36" spans="2:26" ht="24" customHeight="1">
      <c r="B36" s="21" t="s">
        <v>30</v>
      </c>
      <c r="C36" s="21" t="s">
        <v>22</v>
      </c>
      <c r="D36" s="21" t="s">
        <v>22</v>
      </c>
      <c r="E36" s="21" t="s">
        <v>22</v>
      </c>
      <c r="F36" s="21" t="s">
        <v>22</v>
      </c>
      <c r="G36" s="21" t="s">
        <v>22</v>
      </c>
      <c r="H36" s="21" t="s">
        <v>22</v>
      </c>
      <c r="I36" s="18"/>
      <c r="J36" s="19"/>
      <c r="K36" s="21" t="s">
        <v>22</v>
      </c>
    </row>
    <row r="37" spans="2:26">
      <c r="B37" s="4"/>
      <c r="C37" s="4"/>
      <c r="D37" s="24"/>
      <c r="E37" s="4"/>
      <c r="F37" s="5"/>
      <c r="G37" s="5"/>
      <c r="H37" s="5"/>
      <c r="I37" s="5"/>
      <c r="J37" s="5"/>
      <c r="K37" s="24"/>
    </row>
    <row r="38" spans="2:26" ht="12.75" customHeight="1">
      <c r="B38" s="2" t="s">
        <v>31</v>
      </c>
      <c r="C38" s="23"/>
      <c r="D38" s="23"/>
      <c r="E38" s="23"/>
      <c r="F38" s="23"/>
      <c r="G38" s="23"/>
      <c r="H38" s="23"/>
      <c r="I38" s="23"/>
      <c r="J38" s="23"/>
      <c r="K38" s="23"/>
      <c r="L38" s="23"/>
      <c r="M38" s="23"/>
      <c r="N38" s="24"/>
      <c r="O38" s="23"/>
      <c r="P38" s="23"/>
      <c r="Q38" s="23"/>
      <c r="R38" s="24"/>
      <c r="S38" s="24"/>
      <c r="T38" s="24"/>
      <c r="U38" s="24"/>
      <c r="V38" s="24"/>
      <c r="W38" s="24"/>
      <c r="X38" s="24"/>
      <c r="Y38" s="24"/>
      <c r="Z38" s="24"/>
    </row>
    <row r="39" spans="2:26" ht="13.5" customHeight="1">
      <c r="B39" s="23"/>
      <c r="C39" s="23"/>
      <c r="D39" s="23"/>
      <c r="E39" s="23"/>
      <c r="F39" s="23"/>
      <c r="G39" s="23"/>
      <c r="H39" s="23"/>
      <c r="I39" s="23"/>
      <c r="J39" s="23"/>
      <c r="K39" s="23"/>
      <c r="L39" s="23"/>
      <c r="M39" s="23"/>
      <c r="N39" s="23"/>
      <c r="O39" s="23"/>
      <c r="P39" s="23"/>
      <c r="Q39" s="23"/>
      <c r="R39" s="24"/>
      <c r="S39" s="24"/>
      <c r="T39" s="24"/>
      <c r="U39" s="24"/>
      <c r="V39" s="24"/>
      <c r="W39" s="24"/>
      <c r="X39" s="24"/>
      <c r="Y39" s="24"/>
      <c r="Z39" s="24"/>
    </row>
    <row r="40" spans="2:26">
      <c r="B40" s="9" t="s">
        <v>32</v>
      </c>
      <c r="E40" s="25"/>
      <c r="F40" s="25"/>
      <c r="G40" s="25"/>
      <c r="H40" s="25"/>
      <c r="I40" s="25"/>
      <c r="N40" s="25"/>
      <c r="O40" s="25"/>
      <c r="P40" s="25"/>
    </row>
    <row r="41" spans="2:26">
      <c r="B41" s="1" t="s">
        <v>77</v>
      </c>
      <c r="N41" s="25"/>
      <c r="O41" s="25"/>
      <c r="P41" s="25"/>
    </row>
    <row r="43" spans="2:26">
      <c r="B43" s="204" t="s">
        <v>40</v>
      </c>
      <c r="C43" s="204"/>
      <c r="D43" s="204"/>
      <c r="E43" s="204"/>
      <c r="F43" s="204"/>
      <c r="G43" s="204"/>
      <c r="H43" s="204"/>
      <c r="I43" s="204"/>
      <c r="J43" s="204"/>
      <c r="K43" s="204"/>
      <c r="L43" s="29"/>
      <c r="M43" s="24"/>
      <c r="N43" s="24"/>
      <c r="O43" s="24"/>
      <c r="P43" s="24"/>
      <c r="Q43" s="24"/>
      <c r="R43" s="24"/>
      <c r="S43" s="24"/>
      <c r="T43" s="24"/>
      <c r="U43" s="24"/>
      <c r="V43" s="24"/>
      <c r="W43" s="24"/>
      <c r="X43" s="24"/>
      <c r="Y43" s="24"/>
      <c r="Z43" s="46"/>
    </row>
    <row r="44" spans="2:26">
      <c r="B44" s="4"/>
      <c r="C44" s="4"/>
      <c r="D44" s="24"/>
      <c r="E44" s="4"/>
      <c r="F44" s="5"/>
      <c r="G44" s="5"/>
      <c r="H44" s="5"/>
      <c r="I44" s="5"/>
      <c r="J44" s="5"/>
      <c r="K44" s="24"/>
    </row>
    <row r="45" spans="2:26">
      <c r="B45" s="50">
        <v>1</v>
      </c>
      <c r="C45" s="24" t="s">
        <v>63</v>
      </c>
      <c r="D45" s="4"/>
      <c r="E45" s="5"/>
      <c r="F45" s="5"/>
      <c r="G45" s="5"/>
      <c r="H45" s="5"/>
      <c r="I45" s="5"/>
      <c r="J45" s="24"/>
    </row>
    <row r="46" spans="2:26">
      <c r="B46" s="50">
        <v>2</v>
      </c>
      <c r="C46" s="24" t="s">
        <v>64</v>
      </c>
      <c r="D46" s="4"/>
      <c r="E46" s="5"/>
      <c r="F46" s="5"/>
      <c r="G46" s="5"/>
      <c r="H46" s="5"/>
      <c r="I46" s="5"/>
      <c r="J46" s="24"/>
    </row>
    <row r="47" spans="2:26">
      <c r="B47" s="51">
        <v>5</v>
      </c>
      <c r="C47" s="1" t="s">
        <v>85</v>
      </c>
    </row>
    <row r="48" spans="2:26" ht="15" customHeight="1">
      <c r="B48" s="211">
        <v>6</v>
      </c>
      <c r="C48" s="210" t="s">
        <v>65</v>
      </c>
      <c r="D48" s="210"/>
      <c r="E48" s="210"/>
      <c r="F48" s="210"/>
      <c r="G48" s="210"/>
      <c r="H48" s="210"/>
      <c r="I48" s="210"/>
      <c r="J48" s="210"/>
      <c r="K48" s="210"/>
      <c r="L48" s="210"/>
      <c r="M48" s="210"/>
    </row>
    <row r="49" spans="2:13" ht="15" customHeight="1">
      <c r="B49" s="211"/>
      <c r="C49" s="210"/>
      <c r="D49" s="210"/>
      <c r="E49" s="210"/>
      <c r="F49" s="210"/>
      <c r="G49" s="210"/>
      <c r="H49" s="210"/>
      <c r="I49" s="210"/>
      <c r="J49" s="210"/>
      <c r="K49" s="210"/>
      <c r="L49" s="210"/>
      <c r="M49" s="210"/>
    </row>
    <row r="50" spans="2:13" ht="15" customHeight="1">
      <c r="B50" s="211">
        <v>7</v>
      </c>
      <c r="C50" s="210" t="s">
        <v>41</v>
      </c>
      <c r="D50" s="210"/>
      <c r="E50" s="210"/>
      <c r="F50" s="210"/>
      <c r="G50" s="210"/>
      <c r="H50" s="210"/>
      <c r="I50" s="210"/>
      <c r="J50" s="210"/>
      <c r="K50" s="210"/>
      <c r="L50" s="210"/>
    </row>
    <row r="51" spans="2:13" ht="15" customHeight="1">
      <c r="B51" s="211"/>
      <c r="C51" s="210"/>
      <c r="D51" s="210"/>
      <c r="E51" s="210"/>
      <c r="F51" s="210"/>
      <c r="G51" s="210"/>
      <c r="H51" s="210"/>
      <c r="I51" s="210"/>
      <c r="J51" s="210"/>
      <c r="K51" s="210"/>
      <c r="L51" s="210"/>
    </row>
    <row r="52" spans="2:13" ht="15" customHeight="1">
      <c r="B52" s="211">
        <v>8</v>
      </c>
      <c r="C52" s="210" t="s">
        <v>66</v>
      </c>
      <c r="D52" s="210"/>
      <c r="E52" s="210"/>
      <c r="F52" s="210"/>
      <c r="G52" s="210"/>
      <c r="H52" s="210"/>
      <c r="I52" s="210"/>
      <c r="J52" s="210"/>
      <c r="K52" s="210"/>
      <c r="L52" s="210"/>
      <c r="M52" s="210"/>
    </row>
    <row r="53" spans="2:13" ht="15" customHeight="1">
      <c r="B53" s="211"/>
      <c r="C53" s="210"/>
      <c r="D53" s="210"/>
      <c r="E53" s="210"/>
      <c r="F53" s="210"/>
      <c r="G53" s="210"/>
      <c r="H53" s="210"/>
      <c r="I53" s="210"/>
      <c r="J53" s="210"/>
      <c r="K53" s="210"/>
      <c r="L53" s="210"/>
      <c r="M53" s="210"/>
    </row>
    <row r="54" spans="2:13" ht="12.75" customHeight="1">
      <c r="B54" s="211">
        <v>9</v>
      </c>
      <c r="C54" s="210" t="s">
        <v>67</v>
      </c>
      <c r="D54" s="210"/>
      <c r="E54" s="210"/>
      <c r="F54" s="210"/>
      <c r="G54" s="210"/>
      <c r="H54" s="210"/>
      <c r="I54" s="210"/>
      <c r="J54" s="210"/>
      <c r="K54" s="210"/>
      <c r="L54" s="210"/>
      <c r="M54" s="210"/>
    </row>
    <row r="55" spans="2:13" ht="15" customHeight="1">
      <c r="B55" s="211"/>
      <c r="C55" s="210"/>
      <c r="D55" s="210"/>
      <c r="E55" s="210"/>
      <c r="F55" s="210"/>
      <c r="G55" s="210"/>
      <c r="H55" s="210"/>
      <c r="I55" s="210"/>
      <c r="J55" s="210"/>
      <c r="K55" s="210"/>
      <c r="L55" s="210"/>
      <c r="M55" s="210"/>
    </row>
    <row r="56" spans="2:13">
      <c r="B56" s="50">
        <v>10</v>
      </c>
      <c r="C56" s="24" t="s">
        <v>42</v>
      </c>
      <c r="D56" s="4"/>
      <c r="E56" s="24"/>
      <c r="F56" s="5"/>
      <c r="G56" s="5"/>
      <c r="H56" s="5"/>
      <c r="I56" s="5"/>
      <c r="J56" s="24"/>
    </row>
    <row r="57" spans="2:13">
      <c r="B57" s="50" t="s">
        <v>22</v>
      </c>
      <c r="C57" s="24" t="s">
        <v>43</v>
      </c>
      <c r="D57" s="4"/>
      <c r="E57" s="24"/>
      <c r="F57" s="5"/>
      <c r="G57" s="5"/>
      <c r="H57" s="5"/>
      <c r="I57" s="5"/>
      <c r="J57" s="24"/>
    </row>
    <row r="58" spans="2:13">
      <c r="B58" s="204" t="s">
        <v>86</v>
      </c>
      <c r="C58" s="204"/>
      <c r="D58" s="204"/>
      <c r="E58" s="204"/>
      <c r="F58" s="204"/>
      <c r="G58" s="204"/>
      <c r="H58" s="204"/>
      <c r="I58" s="204"/>
      <c r="J58" s="204"/>
      <c r="K58" s="204"/>
      <c r="L58" s="204"/>
    </row>
    <row r="59" spans="2:13">
      <c r="B59" s="4"/>
      <c r="C59" s="4"/>
      <c r="D59" s="24"/>
      <c r="E59" s="4"/>
      <c r="F59" s="5"/>
      <c r="G59" s="5"/>
      <c r="H59" s="5"/>
      <c r="I59" s="5"/>
      <c r="J59" s="5"/>
      <c r="K59" s="24"/>
    </row>
  </sheetData>
  <mergeCells count="35">
    <mergeCell ref="B4:C4"/>
    <mergeCell ref="B5:C5"/>
    <mergeCell ref="D5:V5"/>
    <mergeCell ref="O6:V6"/>
    <mergeCell ref="C50:L51"/>
    <mergeCell ref="K16:K17"/>
    <mergeCell ref="D9:K9"/>
    <mergeCell ref="D12:K12"/>
    <mergeCell ref="D13:K13"/>
    <mergeCell ref="B14:K14"/>
    <mergeCell ref="I15:K15"/>
    <mergeCell ref="B16:B17"/>
    <mergeCell ref="C16:C17"/>
    <mergeCell ref="D16:D17"/>
    <mergeCell ref="E16:E17"/>
    <mergeCell ref="F16:F17"/>
    <mergeCell ref="B19:J19"/>
    <mergeCell ref="B23:D23"/>
    <mergeCell ref="B24:J24"/>
    <mergeCell ref="G16:G17"/>
    <mergeCell ref="H16:H17"/>
    <mergeCell ref="I16:I17"/>
    <mergeCell ref="J16:J17"/>
    <mergeCell ref="B58:L58"/>
    <mergeCell ref="B28:D28"/>
    <mergeCell ref="B29:J29"/>
    <mergeCell ref="B33:D33"/>
    <mergeCell ref="B43:K43"/>
    <mergeCell ref="C54:M55"/>
    <mergeCell ref="B54:B55"/>
    <mergeCell ref="C52:M53"/>
    <mergeCell ref="C48:M49"/>
    <mergeCell ref="B48:B49"/>
    <mergeCell ref="B50:B51"/>
    <mergeCell ref="B52:B53"/>
  </mergeCells>
  <phoneticPr fontId="7" type="noConversion"/>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dimension ref="B1:AK69"/>
  <sheetViews>
    <sheetView zoomScale="75" zoomScaleNormal="75" zoomScaleSheetLayoutView="75" workbookViewId="0">
      <selection activeCell="A17" sqref="A17:IV19"/>
    </sheetView>
  </sheetViews>
  <sheetFormatPr defaultRowHeight="15" outlineLevelCol="1"/>
  <cols>
    <col min="1" max="1" width="7.42578125" style="7" customWidth="1"/>
    <col min="2" max="2" width="9.140625" style="7"/>
    <col min="3" max="3" width="15.28515625" style="7" hidden="1" customWidth="1" outlineLevel="1"/>
    <col min="4" max="4" width="20.28515625" style="7" customWidth="1" collapsed="1"/>
    <col min="5" max="5" width="22.28515625" style="7" customWidth="1"/>
    <col min="6" max="6" width="13.7109375" style="7" customWidth="1"/>
    <col min="7" max="7" width="11.5703125" style="7" customWidth="1"/>
    <col min="8" max="8" width="13.85546875" style="7" customWidth="1"/>
    <col min="9" max="9" width="18.7109375" style="7" customWidth="1"/>
    <col min="10" max="10" width="19.28515625" style="7" customWidth="1"/>
    <col min="11" max="11" width="14.5703125" style="7" customWidth="1"/>
    <col min="12" max="12" width="18.5703125" style="7" customWidth="1"/>
    <col min="13" max="13" width="25" style="7" customWidth="1"/>
    <col min="14" max="14" width="24.5703125" style="7" customWidth="1"/>
    <col min="15" max="15" width="14.140625" style="7" customWidth="1"/>
    <col min="16" max="16" width="18.7109375" style="7" customWidth="1"/>
    <col min="17" max="17" width="17.42578125" style="7" customWidth="1"/>
    <col min="18" max="16384" width="9.140625" style="7"/>
  </cols>
  <sheetData>
    <row r="1" spans="2:37" s="1" customFormat="1" ht="15.75">
      <c r="E1" s="2"/>
      <c r="F1" s="2"/>
      <c r="G1" s="2"/>
      <c r="J1" s="3" t="s">
        <v>76</v>
      </c>
      <c r="M1" s="2"/>
      <c r="N1" s="2"/>
      <c r="Q1" s="2"/>
      <c r="S1" s="2"/>
      <c r="U1" s="4"/>
      <c r="V1" s="5"/>
    </row>
    <row r="2" spans="2:37" s="1" customFormat="1" ht="15.75">
      <c r="E2" s="2"/>
      <c r="F2" s="2"/>
      <c r="G2" s="2"/>
      <c r="J2" s="3" t="s">
        <v>0</v>
      </c>
      <c r="M2" s="2"/>
      <c r="N2" s="2"/>
      <c r="Q2" s="2"/>
      <c r="S2" s="2"/>
      <c r="U2" s="3"/>
      <c r="V2" s="2"/>
    </row>
    <row r="3" spans="2:37" s="1" customFormat="1" ht="15.75">
      <c r="J3" s="3" t="s">
        <v>1</v>
      </c>
      <c r="U3" s="3"/>
      <c r="V3" s="2"/>
      <c r="W3" s="2"/>
      <c r="X3" s="2"/>
      <c r="Y3" s="2"/>
      <c r="Z3" s="2"/>
      <c r="AA3" s="2"/>
      <c r="AB3" s="2"/>
      <c r="AC3" s="2"/>
      <c r="AD3" s="2"/>
      <c r="AE3" s="2"/>
      <c r="AF3" s="2"/>
      <c r="AG3" s="2"/>
      <c r="AH3" s="2"/>
      <c r="AI3" s="2"/>
      <c r="AJ3" s="2"/>
      <c r="AK3" s="2"/>
    </row>
    <row r="4" spans="2:37" s="1" customFormat="1" ht="21.75" customHeight="1">
      <c r="B4" s="218"/>
      <c r="C4" s="218"/>
      <c r="J4" s="3" t="s">
        <v>88</v>
      </c>
      <c r="U4" s="3"/>
      <c r="V4" s="2"/>
      <c r="W4" s="2"/>
      <c r="X4" s="2"/>
      <c r="Y4" s="2"/>
      <c r="Z4" s="2"/>
      <c r="AA4" s="2"/>
      <c r="AB4" s="2"/>
      <c r="AC4" s="2"/>
      <c r="AD4" s="2"/>
      <c r="AE4" s="2"/>
      <c r="AF4" s="2"/>
      <c r="AG4" s="2"/>
      <c r="AH4" s="2"/>
      <c r="AI4" s="2"/>
      <c r="AJ4" s="2"/>
      <c r="AK4" s="2"/>
    </row>
    <row r="5" spans="2:37" ht="15.75">
      <c r="C5" s="219" t="s">
        <v>2</v>
      </c>
      <c r="D5" s="219"/>
      <c r="E5" s="219"/>
      <c r="F5" s="219"/>
      <c r="G5" s="219"/>
      <c r="H5" s="219"/>
      <c r="I5" s="219"/>
      <c r="J5" s="219"/>
      <c r="K5" s="8"/>
    </row>
    <row r="6" spans="2:37" s="1" customFormat="1" ht="15.75">
      <c r="B6" s="9" t="s">
        <v>44</v>
      </c>
    </row>
    <row r="7" spans="2:37" s="1" customFormat="1" ht="15.75">
      <c r="B7" s="9" t="s">
        <v>80</v>
      </c>
    </row>
    <row r="8" spans="2:37" ht="15.75">
      <c r="C8" s="221"/>
      <c r="D8" s="221"/>
      <c r="E8" s="221"/>
      <c r="F8" s="221"/>
      <c r="G8" s="221"/>
      <c r="H8" s="221"/>
      <c r="I8" s="221"/>
      <c r="J8" s="221"/>
      <c r="K8" s="10"/>
    </row>
    <row r="9" spans="2:37" ht="15.75">
      <c r="C9" s="222"/>
      <c r="D9" s="222"/>
      <c r="E9" s="222"/>
      <c r="F9" s="222"/>
      <c r="G9" s="222"/>
      <c r="H9" s="222"/>
      <c r="I9" s="222"/>
      <c r="J9" s="222"/>
      <c r="K9" s="11"/>
    </row>
    <row r="10" spans="2:37" ht="15.75">
      <c r="B10" s="223" t="s">
        <v>68</v>
      </c>
      <c r="C10" s="223"/>
      <c r="D10" s="223"/>
      <c r="E10" s="223"/>
      <c r="F10" s="223"/>
      <c r="G10" s="223"/>
      <c r="H10" s="223"/>
      <c r="I10" s="223"/>
      <c r="J10" s="223"/>
      <c r="K10" s="223"/>
      <c r="L10" s="223"/>
      <c r="M10" s="223"/>
      <c r="N10" s="223"/>
      <c r="O10" s="223"/>
      <c r="P10" s="223"/>
      <c r="Q10" s="223"/>
    </row>
    <row r="11" spans="2:37" ht="16.5" thickBot="1">
      <c r="B11" s="4"/>
      <c r="C11" s="4"/>
      <c r="D11" s="4"/>
      <c r="E11" s="4"/>
      <c r="F11" s="4"/>
      <c r="G11" s="4"/>
      <c r="H11" s="4"/>
      <c r="I11" s="4"/>
      <c r="J11" s="4"/>
      <c r="K11" s="4"/>
      <c r="L11" s="4"/>
      <c r="M11" s="4"/>
      <c r="N11" s="4"/>
      <c r="O11" s="4"/>
      <c r="P11" s="4"/>
      <c r="Q11" s="4"/>
    </row>
    <row r="12" spans="2:37" ht="25.5" customHeight="1" thickBot="1">
      <c r="B12" s="229" t="s">
        <v>48</v>
      </c>
      <c r="C12" s="229"/>
      <c r="D12" s="229"/>
      <c r="E12" s="229"/>
      <c r="F12" s="229"/>
      <c r="G12" s="229"/>
      <c r="H12" s="229"/>
      <c r="I12" s="229"/>
      <c r="J12" s="229"/>
      <c r="K12" s="230" t="s">
        <v>49</v>
      </c>
      <c r="L12" s="231"/>
      <c r="M12" s="231"/>
      <c r="N12" s="231"/>
      <c r="O12" s="231"/>
      <c r="P12" s="231"/>
      <c r="Q12" s="232"/>
    </row>
    <row r="13" spans="2:37" ht="44.25" customHeight="1" thickBot="1">
      <c r="B13" s="214" t="s">
        <v>3</v>
      </c>
      <c r="C13" s="214" t="s">
        <v>4</v>
      </c>
      <c r="D13" s="214" t="s">
        <v>37</v>
      </c>
      <c r="E13" s="214" t="s">
        <v>50</v>
      </c>
      <c r="F13" s="214" t="s">
        <v>51</v>
      </c>
      <c r="G13" s="214" t="s">
        <v>13</v>
      </c>
      <c r="H13" s="214" t="s">
        <v>14</v>
      </c>
      <c r="I13" s="214" t="s">
        <v>15</v>
      </c>
      <c r="J13" s="216" t="s">
        <v>17</v>
      </c>
      <c r="K13" s="214" t="s">
        <v>51</v>
      </c>
      <c r="L13" s="224" t="s">
        <v>52</v>
      </c>
      <c r="M13" s="224" t="s">
        <v>46</v>
      </c>
      <c r="N13" s="214" t="s">
        <v>53</v>
      </c>
      <c r="O13" s="214" t="s">
        <v>72</v>
      </c>
      <c r="P13" s="214" t="s">
        <v>74</v>
      </c>
      <c r="Q13" s="214" t="s">
        <v>69</v>
      </c>
    </row>
    <row r="14" spans="2:37" ht="92.25" customHeight="1" thickBot="1">
      <c r="B14" s="215"/>
      <c r="C14" s="215"/>
      <c r="D14" s="215"/>
      <c r="E14" s="215"/>
      <c r="F14" s="215"/>
      <c r="G14" s="215"/>
      <c r="H14" s="215"/>
      <c r="I14" s="215"/>
      <c r="J14" s="217"/>
      <c r="K14" s="215"/>
      <c r="L14" s="224"/>
      <c r="M14" s="224"/>
      <c r="N14" s="215"/>
      <c r="O14" s="215"/>
      <c r="P14" s="215"/>
      <c r="Q14" s="215"/>
    </row>
    <row r="15" spans="2:37" s="12" customFormat="1" ht="12.75" customHeight="1">
      <c r="B15" s="13">
        <v>1</v>
      </c>
      <c r="C15" s="13">
        <v>2</v>
      </c>
      <c r="D15" s="13">
        <v>3</v>
      </c>
      <c r="E15" s="13">
        <v>4</v>
      </c>
      <c r="F15" s="13">
        <v>5</v>
      </c>
      <c r="G15" s="13">
        <v>6</v>
      </c>
      <c r="H15" s="13">
        <v>7</v>
      </c>
      <c r="I15" s="13">
        <v>8</v>
      </c>
      <c r="J15" s="13">
        <v>9</v>
      </c>
      <c r="K15" s="13">
        <v>10</v>
      </c>
      <c r="L15" s="13">
        <v>11</v>
      </c>
      <c r="M15" s="13">
        <v>12</v>
      </c>
      <c r="N15" s="13">
        <v>13</v>
      </c>
      <c r="O15" s="13">
        <v>14</v>
      </c>
      <c r="P15" s="13">
        <v>15</v>
      </c>
      <c r="Q15" s="13">
        <v>16</v>
      </c>
    </row>
    <row r="16" spans="2:37" ht="15.75" customHeight="1">
      <c r="B16" s="212" t="s">
        <v>20</v>
      </c>
      <c r="C16" s="212"/>
      <c r="D16" s="212"/>
      <c r="E16" s="212"/>
      <c r="F16" s="212"/>
      <c r="G16" s="212"/>
      <c r="H16" s="212"/>
      <c r="I16" s="212"/>
      <c r="J16" s="213"/>
      <c r="K16" s="212" t="s">
        <v>20</v>
      </c>
      <c r="L16" s="212"/>
      <c r="M16" s="212"/>
      <c r="N16" s="212"/>
      <c r="O16" s="212"/>
      <c r="P16" s="212"/>
      <c r="Q16" s="212"/>
    </row>
    <row r="17" spans="2:17" ht="15.75" customHeight="1">
      <c r="B17" s="14"/>
      <c r="C17" s="14"/>
      <c r="D17" s="14"/>
      <c r="E17" s="14"/>
      <c r="F17" s="14"/>
      <c r="G17" s="14"/>
      <c r="H17" s="14"/>
      <c r="I17" s="14"/>
      <c r="J17" s="15"/>
      <c r="K17" s="14"/>
      <c r="L17" s="14"/>
      <c r="M17" s="14"/>
      <c r="N17" s="14"/>
      <c r="O17" s="14"/>
      <c r="P17" s="14"/>
      <c r="Q17" s="14"/>
    </row>
    <row r="18" spans="2:17" ht="15.75" customHeight="1">
      <c r="B18" s="14"/>
      <c r="C18" s="14"/>
      <c r="D18" s="14"/>
      <c r="E18" s="14"/>
      <c r="F18" s="14"/>
      <c r="G18" s="14"/>
      <c r="H18" s="14"/>
      <c r="I18" s="14"/>
      <c r="J18" s="15"/>
      <c r="K18" s="14"/>
      <c r="L18" s="14"/>
      <c r="M18" s="14"/>
      <c r="N18" s="14"/>
      <c r="O18" s="14"/>
      <c r="P18" s="14"/>
      <c r="Q18" s="14"/>
    </row>
    <row r="19" spans="2:17" ht="15.75" customHeight="1">
      <c r="B19" s="14"/>
      <c r="C19" s="14"/>
      <c r="D19" s="14"/>
      <c r="E19" s="14"/>
      <c r="F19" s="14"/>
      <c r="G19" s="14"/>
      <c r="H19" s="14"/>
      <c r="I19" s="14"/>
      <c r="J19" s="15"/>
      <c r="K19" s="14"/>
      <c r="L19" s="14"/>
      <c r="M19" s="14"/>
      <c r="N19" s="14"/>
      <c r="O19" s="14"/>
      <c r="P19" s="14"/>
      <c r="Q19" s="14"/>
    </row>
    <row r="20" spans="2:17" ht="15.75" customHeight="1">
      <c r="B20" s="14"/>
      <c r="C20" s="14"/>
      <c r="D20" s="14"/>
      <c r="E20" s="14"/>
      <c r="F20" s="14"/>
      <c r="G20" s="14"/>
      <c r="H20" s="14"/>
      <c r="I20" s="14"/>
      <c r="J20" s="15"/>
      <c r="K20" s="14"/>
      <c r="L20" s="14"/>
      <c r="M20" s="14"/>
      <c r="N20" s="14"/>
      <c r="O20" s="14"/>
      <c r="P20" s="14"/>
      <c r="Q20" s="14"/>
    </row>
    <row r="21" spans="2:17" ht="15.75" customHeight="1">
      <c r="B21" s="14"/>
      <c r="C21" s="14"/>
      <c r="D21" s="14"/>
      <c r="E21" s="14"/>
      <c r="F21" s="14"/>
      <c r="G21" s="14"/>
      <c r="H21" s="14"/>
      <c r="I21" s="14"/>
      <c r="J21" s="15"/>
      <c r="K21" s="14"/>
      <c r="L21" s="14"/>
      <c r="M21" s="14"/>
      <c r="N21" s="14"/>
      <c r="O21" s="14"/>
      <c r="P21" s="14"/>
      <c r="Q21" s="14"/>
    </row>
    <row r="22" spans="2:17" ht="15.75" customHeight="1">
      <c r="B22" s="14"/>
      <c r="C22" s="14"/>
      <c r="D22" s="14"/>
      <c r="E22" s="14"/>
      <c r="F22" s="14"/>
      <c r="G22" s="14"/>
      <c r="H22" s="14"/>
      <c r="I22" s="14"/>
      <c r="J22" s="15"/>
      <c r="K22" s="14"/>
      <c r="L22" s="14"/>
      <c r="M22" s="14"/>
      <c r="N22" s="14"/>
      <c r="O22" s="14"/>
      <c r="P22" s="14"/>
      <c r="Q22" s="14"/>
    </row>
    <row r="23" spans="2:17" ht="15.75" customHeight="1">
      <c r="B23" s="14"/>
      <c r="C23" s="14"/>
      <c r="D23" s="14"/>
      <c r="E23" s="14"/>
      <c r="F23" s="14"/>
      <c r="G23" s="14"/>
      <c r="H23" s="14"/>
      <c r="I23" s="14"/>
      <c r="J23" s="15"/>
      <c r="K23" s="14"/>
      <c r="L23" s="14"/>
      <c r="M23" s="14"/>
      <c r="N23" s="14"/>
      <c r="O23" s="14"/>
      <c r="P23" s="14"/>
      <c r="Q23" s="14"/>
    </row>
    <row r="24" spans="2:17" ht="15.75" customHeight="1">
      <c r="B24" s="14"/>
      <c r="C24" s="14"/>
      <c r="D24" s="14"/>
      <c r="E24" s="14"/>
      <c r="F24" s="14"/>
      <c r="G24" s="14"/>
      <c r="H24" s="14"/>
      <c r="I24" s="14"/>
      <c r="J24" s="15"/>
      <c r="K24" s="14"/>
      <c r="L24" s="14"/>
      <c r="M24" s="14"/>
      <c r="N24" s="14"/>
      <c r="O24" s="14"/>
      <c r="P24" s="14"/>
      <c r="Q24" s="14"/>
    </row>
    <row r="25" spans="2:17" ht="15.75" customHeight="1">
      <c r="B25" s="14"/>
      <c r="C25" s="14"/>
      <c r="D25" s="14"/>
      <c r="E25" s="14"/>
      <c r="F25" s="14"/>
      <c r="G25" s="14"/>
      <c r="H25" s="14"/>
      <c r="I25" s="14"/>
      <c r="J25" s="15"/>
      <c r="K25" s="14"/>
      <c r="L25" s="14"/>
      <c r="M25" s="14"/>
      <c r="N25" s="14"/>
      <c r="O25" s="14"/>
      <c r="P25" s="14"/>
      <c r="Q25" s="14"/>
    </row>
    <row r="26" spans="2:17" ht="15.75" customHeight="1">
      <c r="B26" s="14"/>
      <c r="C26" s="14"/>
      <c r="D26" s="14"/>
      <c r="E26" s="14"/>
      <c r="F26" s="14"/>
      <c r="G26" s="14"/>
      <c r="H26" s="14"/>
      <c r="I26" s="14"/>
      <c r="J26" s="15"/>
      <c r="K26" s="14"/>
      <c r="L26" s="14"/>
      <c r="M26" s="14"/>
      <c r="N26" s="14"/>
      <c r="O26" s="14"/>
      <c r="P26" s="14"/>
      <c r="Q26" s="14"/>
    </row>
    <row r="27" spans="2:17" ht="15.75" customHeight="1">
      <c r="B27" s="14"/>
      <c r="C27" s="14"/>
      <c r="D27" s="14"/>
      <c r="E27" s="14"/>
      <c r="F27" s="14"/>
      <c r="G27" s="14"/>
      <c r="H27" s="14"/>
      <c r="I27" s="14"/>
      <c r="J27" s="15"/>
      <c r="K27" s="14"/>
      <c r="L27" s="14"/>
      <c r="M27" s="14"/>
      <c r="N27" s="14"/>
      <c r="O27" s="14"/>
      <c r="P27" s="14"/>
      <c r="Q27" s="14"/>
    </row>
    <row r="28" spans="2:17" ht="15.75" customHeight="1">
      <c r="B28" s="14"/>
      <c r="C28" s="14"/>
      <c r="D28" s="14"/>
      <c r="E28" s="14"/>
      <c r="F28" s="14"/>
      <c r="G28" s="14"/>
      <c r="H28" s="14"/>
      <c r="I28" s="14"/>
      <c r="J28" s="15"/>
      <c r="K28" s="14"/>
      <c r="L28" s="14"/>
      <c r="M28" s="14"/>
      <c r="N28" s="14"/>
      <c r="O28" s="14"/>
      <c r="P28" s="14"/>
      <c r="Q28" s="14"/>
    </row>
    <row r="29" spans="2:17" ht="15.75" customHeight="1">
      <c r="B29" s="14"/>
      <c r="C29" s="14"/>
      <c r="D29" s="14"/>
      <c r="E29" s="14"/>
      <c r="F29" s="14"/>
      <c r="G29" s="14"/>
      <c r="H29" s="14"/>
      <c r="I29" s="14"/>
      <c r="J29" s="15"/>
      <c r="K29" s="14"/>
      <c r="L29" s="14"/>
      <c r="M29" s="14"/>
      <c r="N29" s="14"/>
      <c r="O29" s="14"/>
      <c r="P29" s="14"/>
      <c r="Q29" s="14"/>
    </row>
    <row r="30" spans="2:17" ht="15.75" customHeight="1">
      <c r="B30" s="14"/>
      <c r="C30" s="14"/>
      <c r="D30" s="14"/>
      <c r="E30" s="14"/>
      <c r="F30" s="14"/>
      <c r="G30" s="14"/>
      <c r="H30" s="14"/>
      <c r="I30" s="14"/>
      <c r="J30" s="15"/>
      <c r="K30" s="14"/>
      <c r="L30" s="14"/>
      <c r="M30" s="14"/>
      <c r="N30" s="14"/>
      <c r="O30" s="14"/>
      <c r="P30" s="14"/>
      <c r="Q30" s="14"/>
    </row>
    <row r="31" spans="2:17" ht="15.75" customHeight="1">
      <c r="B31" s="14"/>
      <c r="C31" s="14"/>
      <c r="D31" s="14"/>
      <c r="E31" s="14"/>
      <c r="F31" s="14"/>
      <c r="G31" s="14"/>
      <c r="H31" s="14"/>
      <c r="I31" s="14"/>
      <c r="J31" s="15"/>
      <c r="K31" s="14"/>
      <c r="L31" s="14"/>
      <c r="M31" s="14"/>
      <c r="N31" s="14"/>
      <c r="O31" s="14"/>
      <c r="P31" s="14"/>
      <c r="Q31" s="14"/>
    </row>
    <row r="32" spans="2:17" ht="13.5" customHeight="1">
      <c r="B32" s="16"/>
      <c r="C32" s="14"/>
      <c r="D32" s="14"/>
      <c r="E32" s="14"/>
      <c r="F32" s="14"/>
      <c r="G32" s="14"/>
      <c r="H32" s="14"/>
      <c r="I32" s="14"/>
      <c r="J32" s="17"/>
      <c r="K32" s="16"/>
      <c r="L32" s="14"/>
      <c r="M32" s="14"/>
      <c r="N32" s="14"/>
      <c r="O32" s="14"/>
      <c r="P32" s="14"/>
      <c r="Q32" s="14"/>
    </row>
    <row r="33" spans="2:17" ht="13.5" customHeight="1">
      <c r="B33" s="16"/>
      <c r="C33" s="14"/>
      <c r="D33" s="14"/>
      <c r="E33" s="14"/>
      <c r="F33" s="14"/>
      <c r="G33" s="14"/>
      <c r="H33" s="14"/>
      <c r="I33" s="14"/>
      <c r="J33" s="17"/>
      <c r="K33" s="16"/>
      <c r="L33" s="14"/>
      <c r="M33" s="14"/>
      <c r="N33" s="14"/>
      <c r="O33" s="14"/>
      <c r="P33" s="14"/>
      <c r="Q33" s="14"/>
    </row>
    <row r="34" spans="2:17" ht="13.5" customHeight="1">
      <c r="B34" s="16" t="s">
        <v>54</v>
      </c>
      <c r="C34" s="14"/>
      <c r="D34" s="14"/>
      <c r="E34" s="14"/>
      <c r="F34" s="14"/>
      <c r="G34" s="14"/>
      <c r="H34" s="14"/>
      <c r="I34" s="14"/>
      <c r="J34" s="17"/>
      <c r="K34" s="16" t="s">
        <v>54</v>
      </c>
      <c r="L34" s="14"/>
      <c r="M34" s="14"/>
      <c r="N34" s="14"/>
      <c r="O34" s="14"/>
      <c r="P34" s="14"/>
      <c r="Q34" s="14"/>
    </row>
    <row r="35" spans="2:17" ht="13.5" customHeight="1">
      <c r="B35" s="213" t="s">
        <v>21</v>
      </c>
      <c r="C35" s="227"/>
      <c r="D35" s="14"/>
      <c r="E35" s="14"/>
      <c r="F35" s="14"/>
      <c r="G35" s="14"/>
      <c r="H35" s="14"/>
      <c r="I35" s="14"/>
      <c r="J35" s="17"/>
      <c r="K35" s="213" t="s">
        <v>21</v>
      </c>
      <c r="L35" s="227"/>
      <c r="M35" s="14"/>
      <c r="N35" s="14"/>
      <c r="O35" s="14"/>
      <c r="P35" s="14"/>
      <c r="Q35" s="14"/>
    </row>
    <row r="36" spans="2:17" ht="15.75">
      <c r="B36" s="212" t="s">
        <v>23</v>
      </c>
      <c r="C36" s="212"/>
      <c r="D36" s="212"/>
      <c r="E36" s="212"/>
      <c r="F36" s="212"/>
      <c r="G36" s="212"/>
      <c r="H36" s="212"/>
      <c r="I36" s="212"/>
      <c r="J36" s="213"/>
      <c r="K36" s="212" t="s">
        <v>23</v>
      </c>
      <c r="L36" s="212"/>
      <c r="M36" s="212"/>
      <c r="N36" s="212"/>
      <c r="O36" s="212"/>
      <c r="P36" s="212"/>
      <c r="Q36" s="212"/>
    </row>
    <row r="37" spans="2:17" ht="15.75">
      <c r="B37" s="16"/>
      <c r="C37" s="14"/>
      <c r="D37" s="14"/>
      <c r="E37" s="14"/>
      <c r="F37" s="14"/>
      <c r="G37" s="14"/>
      <c r="H37" s="14"/>
      <c r="I37" s="14"/>
      <c r="J37" s="15"/>
      <c r="K37" s="16"/>
      <c r="L37" s="14"/>
      <c r="M37" s="14"/>
      <c r="N37" s="14"/>
      <c r="O37" s="14"/>
      <c r="P37" s="14"/>
      <c r="Q37" s="14"/>
    </row>
    <row r="38" spans="2:17" ht="15.75">
      <c r="B38" s="16"/>
      <c r="C38" s="14"/>
      <c r="D38" s="14"/>
      <c r="E38" s="14"/>
      <c r="F38" s="14"/>
      <c r="G38" s="14"/>
      <c r="H38" s="14"/>
      <c r="I38" s="14"/>
      <c r="J38" s="15"/>
      <c r="K38" s="16"/>
      <c r="L38" s="14"/>
      <c r="M38" s="14"/>
      <c r="N38" s="14"/>
      <c r="O38" s="14"/>
      <c r="P38" s="14"/>
      <c r="Q38" s="14"/>
    </row>
    <row r="39" spans="2:17" ht="15.75">
      <c r="B39" s="16" t="s">
        <v>54</v>
      </c>
      <c r="C39" s="18"/>
      <c r="D39" s="18"/>
      <c r="E39" s="18"/>
      <c r="F39" s="18"/>
      <c r="G39" s="18"/>
      <c r="H39" s="18"/>
      <c r="I39" s="18"/>
      <c r="J39" s="19"/>
      <c r="K39" s="16" t="s">
        <v>54</v>
      </c>
      <c r="L39" s="18"/>
      <c r="M39" s="18"/>
      <c r="N39" s="18"/>
      <c r="O39" s="18"/>
      <c r="P39" s="18"/>
      <c r="Q39" s="18"/>
    </row>
    <row r="40" spans="2:17" ht="15.75">
      <c r="B40" s="213" t="s">
        <v>24</v>
      </c>
      <c r="C40" s="227"/>
      <c r="D40" s="18"/>
      <c r="E40" s="18"/>
      <c r="F40" s="18"/>
      <c r="G40" s="18"/>
      <c r="H40" s="18"/>
      <c r="I40" s="18"/>
      <c r="J40" s="19"/>
      <c r="K40" s="213" t="s">
        <v>24</v>
      </c>
      <c r="L40" s="227"/>
      <c r="M40" s="18"/>
      <c r="N40" s="18"/>
      <c r="O40" s="18"/>
      <c r="P40" s="18"/>
      <c r="Q40" s="18"/>
    </row>
    <row r="41" spans="2:17" ht="15.75">
      <c r="B41" s="212" t="s">
        <v>25</v>
      </c>
      <c r="C41" s="212"/>
      <c r="D41" s="212"/>
      <c r="E41" s="212"/>
      <c r="F41" s="212"/>
      <c r="G41" s="212"/>
      <c r="H41" s="212"/>
      <c r="I41" s="212"/>
      <c r="J41" s="213"/>
      <c r="K41" s="212" t="s">
        <v>25</v>
      </c>
      <c r="L41" s="212"/>
      <c r="M41" s="212"/>
      <c r="N41" s="212"/>
      <c r="O41" s="212"/>
      <c r="P41" s="212"/>
      <c r="Q41" s="212"/>
    </row>
    <row r="42" spans="2:17" ht="15.75">
      <c r="B42" s="16"/>
      <c r="C42" s="14"/>
      <c r="D42" s="14"/>
      <c r="E42" s="14"/>
      <c r="F42" s="14"/>
      <c r="G42" s="14"/>
      <c r="H42" s="14"/>
      <c r="I42" s="14"/>
      <c r="J42" s="15"/>
      <c r="K42" s="16"/>
      <c r="L42" s="14"/>
      <c r="M42" s="14"/>
      <c r="N42" s="14"/>
      <c r="O42" s="14"/>
      <c r="P42" s="14"/>
      <c r="Q42" s="14"/>
    </row>
    <row r="43" spans="2:17" ht="15.75">
      <c r="B43" s="16"/>
      <c r="C43" s="14"/>
      <c r="D43" s="14"/>
      <c r="E43" s="14"/>
      <c r="F43" s="14"/>
      <c r="G43" s="14"/>
      <c r="H43" s="14"/>
      <c r="I43" s="14"/>
      <c r="J43" s="15"/>
      <c r="K43" s="16"/>
      <c r="L43" s="14"/>
      <c r="M43" s="14"/>
      <c r="N43" s="14"/>
      <c r="O43" s="14"/>
      <c r="P43" s="14"/>
      <c r="Q43" s="14"/>
    </row>
    <row r="44" spans="2:17" ht="15.75">
      <c r="B44" s="16" t="s">
        <v>54</v>
      </c>
      <c r="C44" s="18"/>
      <c r="D44" s="18"/>
      <c r="E44" s="18"/>
      <c r="F44" s="18"/>
      <c r="G44" s="18"/>
      <c r="H44" s="18"/>
      <c r="I44" s="18"/>
      <c r="J44" s="19"/>
      <c r="K44" s="16" t="s">
        <v>54</v>
      </c>
      <c r="L44" s="18"/>
      <c r="M44" s="18"/>
      <c r="N44" s="18"/>
      <c r="O44" s="18"/>
      <c r="P44" s="18"/>
      <c r="Q44" s="18"/>
    </row>
    <row r="45" spans="2:17" ht="15.75">
      <c r="B45" s="213" t="s">
        <v>29</v>
      </c>
      <c r="C45" s="227"/>
      <c r="D45" s="18"/>
      <c r="E45" s="18"/>
      <c r="F45" s="18"/>
      <c r="G45" s="18"/>
      <c r="H45" s="18"/>
      <c r="I45" s="18"/>
      <c r="J45" s="19"/>
      <c r="K45" s="213" t="s">
        <v>29</v>
      </c>
      <c r="L45" s="227"/>
      <c r="M45" s="18"/>
      <c r="N45" s="18"/>
      <c r="O45" s="18"/>
      <c r="P45" s="18"/>
      <c r="Q45" s="18"/>
    </row>
    <row r="46" spans="2:17" ht="15.75">
      <c r="B46" s="20"/>
      <c r="C46" s="18"/>
      <c r="D46" s="18"/>
      <c r="E46" s="18"/>
      <c r="F46" s="18"/>
      <c r="G46" s="18"/>
      <c r="H46" s="18"/>
      <c r="I46" s="18"/>
      <c r="J46" s="19"/>
      <c r="K46" s="20"/>
      <c r="L46" s="18"/>
      <c r="M46" s="18"/>
      <c r="N46" s="18"/>
      <c r="O46" s="18"/>
      <c r="P46" s="18"/>
      <c r="Q46" s="18"/>
    </row>
    <row r="47" spans="2:17" ht="15.75">
      <c r="B47" s="21" t="s">
        <v>30</v>
      </c>
      <c r="C47" s="20"/>
      <c r="D47" s="21"/>
      <c r="E47" s="18"/>
      <c r="F47" s="18"/>
      <c r="G47" s="18"/>
      <c r="H47" s="18"/>
      <c r="I47" s="18"/>
      <c r="J47" s="19"/>
      <c r="K47" s="21" t="s">
        <v>30</v>
      </c>
      <c r="L47" s="20"/>
      <c r="M47" s="21"/>
      <c r="N47" s="18"/>
      <c r="O47" s="18"/>
      <c r="P47" s="18"/>
      <c r="Q47" s="18"/>
    </row>
    <row r="48" spans="2:17" ht="15.75">
      <c r="B48" s="4"/>
      <c r="C48" s="22"/>
      <c r="D48" s="4"/>
      <c r="E48" s="5"/>
      <c r="F48" s="5"/>
      <c r="G48" s="5"/>
      <c r="H48" s="5"/>
      <c r="I48" s="5"/>
      <c r="J48" s="5"/>
      <c r="K48" s="5"/>
      <c r="L48" s="22"/>
      <c r="M48" s="22"/>
      <c r="N48" s="22"/>
      <c r="O48" s="22"/>
      <c r="P48" s="22"/>
      <c r="Q48" s="22"/>
    </row>
    <row r="49" spans="2:25" s="1" customFormat="1" ht="12.75" customHeight="1">
      <c r="B49" s="2" t="s">
        <v>31</v>
      </c>
      <c r="C49" s="23"/>
      <c r="D49" s="23"/>
      <c r="E49" s="23"/>
      <c r="F49" s="23"/>
      <c r="G49" s="23"/>
      <c r="H49" s="23"/>
      <c r="I49" s="23"/>
      <c r="J49" s="23"/>
      <c r="K49" s="23"/>
      <c r="L49" s="23"/>
      <c r="M49" s="23"/>
      <c r="N49" s="24"/>
      <c r="O49" s="23"/>
      <c r="P49" s="23"/>
      <c r="Q49" s="23"/>
      <c r="R49" s="24"/>
      <c r="S49" s="24"/>
      <c r="T49" s="24"/>
      <c r="U49" s="24"/>
      <c r="V49" s="24"/>
      <c r="W49" s="24"/>
    </row>
    <row r="50" spans="2:25" s="1" customFormat="1" ht="13.5" customHeight="1">
      <c r="B50" s="23"/>
      <c r="C50" s="23"/>
      <c r="D50" s="23"/>
      <c r="E50" s="23"/>
      <c r="F50" s="23"/>
      <c r="G50" s="23"/>
      <c r="H50" s="23"/>
      <c r="I50" s="23"/>
      <c r="J50" s="23"/>
      <c r="K50" s="23"/>
      <c r="L50" s="23"/>
      <c r="M50" s="23"/>
      <c r="N50" s="23"/>
      <c r="O50" s="23"/>
      <c r="P50" s="23"/>
      <c r="Q50" s="23"/>
      <c r="R50" s="24"/>
      <c r="S50" s="24"/>
      <c r="T50" s="24"/>
      <c r="U50" s="24"/>
      <c r="V50" s="24"/>
      <c r="W50" s="24"/>
    </row>
    <row r="51" spans="2:25" s="1" customFormat="1" ht="15.75">
      <c r="C51" s="9" t="s">
        <v>32</v>
      </c>
      <c r="E51" s="25"/>
      <c r="F51" s="25"/>
      <c r="G51" s="25"/>
      <c r="H51" s="25"/>
      <c r="I51" s="25"/>
      <c r="N51" s="25"/>
      <c r="O51" s="25"/>
      <c r="P51" s="25"/>
    </row>
    <row r="52" spans="2:25" s="1" customFormat="1" ht="15.75">
      <c r="C52" s="1" t="s">
        <v>77</v>
      </c>
    </row>
    <row r="53" spans="2:25" s="1" customFormat="1" ht="15.75">
      <c r="C53" s="26" t="s">
        <v>70</v>
      </c>
      <c r="E53" s="27"/>
      <c r="F53" s="27"/>
      <c r="G53" s="27"/>
      <c r="H53" s="27"/>
      <c r="I53" s="27"/>
      <c r="N53" s="27"/>
      <c r="O53" s="27"/>
      <c r="P53" s="27"/>
    </row>
    <row r="54" spans="2:25" s="1" customFormat="1" ht="15.75" customHeight="1">
      <c r="B54" s="24"/>
      <c r="C54" s="24"/>
      <c r="D54" s="24"/>
      <c r="E54" s="24"/>
      <c r="F54" s="24"/>
      <c r="G54" s="24"/>
      <c r="H54" s="24"/>
      <c r="I54" s="24"/>
      <c r="J54" s="24"/>
      <c r="K54" s="24"/>
      <c r="L54" s="24"/>
      <c r="M54" s="24"/>
      <c r="N54" s="24"/>
      <c r="O54" s="24"/>
      <c r="P54" s="24"/>
      <c r="Q54" s="24"/>
      <c r="R54" s="24"/>
      <c r="S54" s="24"/>
      <c r="T54" s="24"/>
      <c r="U54" s="24"/>
      <c r="V54" s="24"/>
      <c r="W54" s="24"/>
      <c r="X54" s="24"/>
    </row>
    <row r="55" spans="2:25" s="1" customFormat="1" ht="15.75">
      <c r="B55" s="228" t="s">
        <v>55</v>
      </c>
      <c r="C55" s="204"/>
      <c r="D55" s="204"/>
      <c r="E55" s="204"/>
      <c r="F55" s="204"/>
      <c r="G55" s="204"/>
      <c r="H55" s="204"/>
      <c r="I55" s="204"/>
      <c r="J55" s="204"/>
      <c r="K55" s="29"/>
      <c r="L55" s="29"/>
      <c r="M55" s="24"/>
      <c r="N55" s="24"/>
      <c r="O55" s="24"/>
      <c r="P55" s="24"/>
      <c r="Q55" s="24"/>
      <c r="R55" s="24"/>
      <c r="S55" s="24"/>
      <c r="T55" s="24"/>
      <c r="U55" s="24"/>
      <c r="V55" s="24"/>
      <c r="W55" s="24"/>
    </row>
    <row r="56" spans="2:25" s="1" customFormat="1" ht="15.75">
      <c r="B56" s="29"/>
      <c r="C56" s="29"/>
      <c r="D56" s="29"/>
      <c r="E56" s="29"/>
      <c r="F56" s="29"/>
      <c r="G56" s="29"/>
      <c r="H56" s="29"/>
      <c r="I56" s="29"/>
      <c r="J56" s="29"/>
      <c r="K56" s="29"/>
      <c r="L56" s="29"/>
      <c r="M56" s="24"/>
      <c r="N56" s="24"/>
      <c r="O56" s="24"/>
      <c r="P56" s="24"/>
      <c r="Q56" s="24"/>
      <c r="R56" s="24"/>
      <c r="S56" s="24"/>
      <c r="T56" s="24"/>
      <c r="U56" s="24"/>
      <c r="V56" s="24"/>
      <c r="W56" s="24"/>
    </row>
    <row r="57" spans="2:25" s="1" customFormat="1" ht="15.75">
      <c r="B57" s="29"/>
      <c r="C57" s="30" t="s">
        <v>56</v>
      </c>
      <c r="D57" s="1" t="s">
        <v>71</v>
      </c>
      <c r="E57" s="29"/>
      <c r="F57" s="29"/>
      <c r="G57" s="29"/>
      <c r="H57" s="29"/>
      <c r="I57" s="29"/>
      <c r="J57" s="29"/>
      <c r="K57" s="29"/>
      <c r="L57" s="29"/>
      <c r="M57" s="24"/>
      <c r="N57" s="24"/>
      <c r="O57" s="24"/>
      <c r="P57" s="24"/>
      <c r="Q57" s="24"/>
      <c r="R57" s="24"/>
      <c r="S57" s="24"/>
      <c r="T57" s="24"/>
      <c r="U57" s="24"/>
      <c r="V57" s="24"/>
      <c r="W57" s="24"/>
    </row>
    <row r="58" spans="2:25" s="1" customFormat="1" ht="15.75">
      <c r="C58" s="31">
        <v>10</v>
      </c>
      <c r="D58" s="32" t="s">
        <v>57</v>
      </c>
      <c r="E58" s="33"/>
      <c r="F58" s="33"/>
      <c r="G58" s="33"/>
      <c r="H58" s="33"/>
      <c r="I58" s="33"/>
      <c r="J58" s="33"/>
      <c r="K58" s="33"/>
      <c r="L58" s="33"/>
      <c r="M58" s="33"/>
      <c r="N58" s="33"/>
      <c r="O58" s="33"/>
      <c r="P58" s="33"/>
      <c r="Q58" s="33"/>
      <c r="R58" s="33"/>
      <c r="S58" s="33"/>
      <c r="T58" s="33"/>
      <c r="U58" s="33"/>
      <c r="V58" s="33"/>
      <c r="W58" s="33"/>
    </row>
    <row r="59" spans="2:25" s="1" customFormat="1" ht="29.25" customHeight="1">
      <c r="C59" s="226">
        <v>11</v>
      </c>
      <c r="D59" s="225" t="s">
        <v>81</v>
      </c>
      <c r="E59" s="225"/>
      <c r="F59" s="225"/>
      <c r="G59" s="225"/>
      <c r="H59" s="225"/>
      <c r="I59" s="225"/>
      <c r="J59" s="225"/>
      <c r="K59" s="225"/>
      <c r="L59" s="225"/>
      <c r="M59" s="225"/>
      <c r="N59" s="225"/>
      <c r="O59" s="225"/>
      <c r="P59" s="225"/>
      <c r="Q59" s="225"/>
      <c r="R59" s="225"/>
      <c r="S59" s="33"/>
      <c r="T59" s="33"/>
      <c r="U59" s="33"/>
      <c r="V59" s="33"/>
      <c r="W59" s="33"/>
    </row>
    <row r="60" spans="2:25" s="1" customFormat="1" ht="36" customHeight="1">
      <c r="C60" s="226"/>
      <c r="D60" s="225"/>
      <c r="E60" s="225"/>
      <c r="F60" s="225"/>
      <c r="G60" s="225"/>
      <c r="H60" s="225"/>
      <c r="I60" s="225"/>
      <c r="J60" s="225"/>
      <c r="K60" s="225"/>
      <c r="L60" s="225"/>
      <c r="M60" s="225"/>
      <c r="N60" s="225"/>
      <c r="O60" s="225"/>
      <c r="P60" s="225"/>
      <c r="Q60" s="225"/>
      <c r="R60" s="225"/>
      <c r="S60" s="33"/>
      <c r="T60" s="33"/>
      <c r="U60" s="33"/>
      <c r="V60" s="33"/>
      <c r="W60" s="33"/>
    </row>
    <row r="61" spans="2:25" ht="15.75">
      <c r="C61" s="31">
        <v>12</v>
      </c>
      <c r="D61" s="6" t="s">
        <v>82</v>
      </c>
      <c r="E61" s="6"/>
      <c r="F61" s="6"/>
      <c r="G61" s="6"/>
      <c r="H61" s="6"/>
      <c r="I61" s="6"/>
      <c r="J61" s="6"/>
      <c r="K61" s="6"/>
    </row>
    <row r="62" spans="2:25" ht="15.75">
      <c r="C62" s="31">
        <v>13</v>
      </c>
      <c r="D62" s="32" t="s">
        <v>58</v>
      </c>
    </row>
    <row r="63" spans="2:25" ht="15.75">
      <c r="C63" s="31">
        <v>14</v>
      </c>
      <c r="D63" s="32" t="s">
        <v>83</v>
      </c>
    </row>
    <row r="64" spans="2:25" ht="15" customHeight="1">
      <c r="C64" s="226">
        <v>15</v>
      </c>
      <c r="D64" s="225" t="s">
        <v>75</v>
      </c>
      <c r="E64" s="225"/>
      <c r="F64" s="225"/>
      <c r="G64" s="225"/>
      <c r="H64" s="225"/>
      <c r="I64" s="225"/>
      <c r="J64" s="225"/>
      <c r="K64" s="225"/>
      <c r="L64" s="225"/>
      <c r="M64" s="225"/>
      <c r="N64" s="225"/>
      <c r="O64" s="225"/>
      <c r="P64" s="225"/>
      <c r="Q64" s="225"/>
      <c r="R64" s="225"/>
      <c r="S64" s="225"/>
      <c r="T64" s="225"/>
      <c r="U64" s="225"/>
      <c r="V64" s="225"/>
      <c r="W64" s="225"/>
      <c r="X64" s="225"/>
      <c r="Y64" s="225"/>
    </row>
    <row r="65" spans="2:25" ht="15" customHeight="1">
      <c r="C65" s="226"/>
      <c r="D65" s="225"/>
      <c r="E65" s="225"/>
      <c r="F65" s="225"/>
      <c r="G65" s="225"/>
      <c r="H65" s="225"/>
      <c r="I65" s="225"/>
      <c r="J65" s="225"/>
      <c r="K65" s="225"/>
      <c r="L65" s="225"/>
      <c r="M65" s="225"/>
      <c r="N65" s="225"/>
      <c r="O65" s="225"/>
      <c r="P65" s="225"/>
      <c r="Q65" s="225"/>
      <c r="R65" s="225"/>
      <c r="S65" s="225"/>
      <c r="T65" s="225"/>
      <c r="U65" s="225"/>
      <c r="V65" s="225"/>
      <c r="W65" s="225"/>
      <c r="X65" s="225"/>
      <c r="Y65" s="225"/>
    </row>
    <row r="66" spans="2:25" ht="15" customHeight="1">
      <c r="B66" s="34"/>
      <c r="C66" s="226">
        <v>16</v>
      </c>
      <c r="D66" s="225" t="s">
        <v>73</v>
      </c>
      <c r="E66" s="225"/>
      <c r="F66" s="225"/>
      <c r="G66" s="225"/>
      <c r="H66" s="225"/>
      <c r="I66" s="225"/>
      <c r="J66" s="225"/>
      <c r="K66" s="225"/>
      <c r="L66" s="225"/>
      <c r="M66" s="225"/>
      <c r="N66" s="225"/>
      <c r="O66" s="225"/>
      <c r="P66" s="225"/>
      <c r="Q66" s="225"/>
      <c r="R66" s="225"/>
      <c r="S66" s="225"/>
      <c r="T66" s="225"/>
      <c r="U66" s="225"/>
      <c r="V66" s="225"/>
      <c r="W66" s="225"/>
      <c r="X66" s="225"/>
      <c r="Y66" s="225"/>
    </row>
    <row r="67" spans="2:25" ht="15" customHeight="1">
      <c r="B67" s="34"/>
      <c r="C67" s="226"/>
      <c r="D67" s="225"/>
      <c r="E67" s="225"/>
      <c r="F67" s="225"/>
      <c r="G67" s="225"/>
      <c r="H67" s="225"/>
      <c r="I67" s="225"/>
      <c r="J67" s="225"/>
      <c r="K67" s="225"/>
      <c r="L67" s="225"/>
      <c r="M67" s="225"/>
      <c r="N67" s="225"/>
      <c r="O67" s="225"/>
      <c r="P67" s="225"/>
      <c r="Q67" s="225"/>
      <c r="R67" s="225"/>
      <c r="S67" s="225"/>
      <c r="T67" s="225"/>
      <c r="U67" s="225"/>
      <c r="V67" s="225"/>
      <c r="W67" s="225"/>
      <c r="X67" s="225"/>
      <c r="Y67" s="225"/>
    </row>
    <row r="69" spans="2:25" ht="15.75">
      <c r="B69" s="1" t="s">
        <v>47</v>
      </c>
    </row>
  </sheetData>
  <autoFilter ref="B13:Q45"/>
  <mergeCells count="42">
    <mergeCell ref="B4:C4"/>
    <mergeCell ref="D64:Y65"/>
    <mergeCell ref="B16:J16"/>
    <mergeCell ref="K16:Q16"/>
    <mergeCell ref="H13:H14"/>
    <mergeCell ref="I13:I14"/>
    <mergeCell ref="B45:C45"/>
    <mergeCell ref="D59:R60"/>
    <mergeCell ref="G13:G14"/>
    <mergeCell ref="B55:J55"/>
    <mergeCell ref="B35:C35"/>
    <mergeCell ref="K35:L35"/>
    <mergeCell ref="B12:J12"/>
    <mergeCell ref="K12:Q12"/>
    <mergeCell ref="B13:B14"/>
    <mergeCell ref="L13:L14"/>
    <mergeCell ref="D66:Y67"/>
    <mergeCell ref="C66:C67"/>
    <mergeCell ref="C64:C65"/>
    <mergeCell ref="C59:C60"/>
    <mergeCell ref="O13:O14"/>
    <mergeCell ref="P13:P14"/>
    <mergeCell ref="E13:E14"/>
    <mergeCell ref="F13:F14"/>
    <mergeCell ref="K45:L45"/>
    <mergeCell ref="Q13:Q14"/>
    <mergeCell ref="B36:J36"/>
    <mergeCell ref="K36:Q36"/>
    <mergeCell ref="B41:J41"/>
    <mergeCell ref="K41:Q41"/>
    <mergeCell ref="B40:C40"/>
    <mergeCell ref="K40:L40"/>
    <mergeCell ref="C5:J5"/>
    <mergeCell ref="C8:J8"/>
    <mergeCell ref="C13:C14"/>
    <mergeCell ref="D13:D14"/>
    <mergeCell ref="M13:M14"/>
    <mergeCell ref="N13:N14"/>
    <mergeCell ref="J13:J14"/>
    <mergeCell ref="K13:K14"/>
    <mergeCell ref="C9:J9"/>
    <mergeCell ref="B10:Q10"/>
  </mergeCells>
  <phoneticPr fontId="7" type="noConversion"/>
  <pageMargins left="0.74803149606299213" right="0.74803149606299213" top="0.98425196850393704" bottom="0.98425196850393704" header="0.51181102362204722" footer="0.51181102362204722"/>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dimension ref="B3:Y17"/>
  <sheetViews>
    <sheetView workbookViewId="0">
      <selection activeCell="G9" sqref="G9"/>
    </sheetView>
  </sheetViews>
  <sheetFormatPr defaultRowHeight="12.75"/>
  <cols>
    <col min="1" max="1" width="5" customWidth="1"/>
    <col min="3" max="3" width="13.5703125" customWidth="1"/>
    <col min="5" max="5" width="12.85546875" customWidth="1"/>
    <col min="6" max="6" width="18.140625" customWidth="1"/>
    <col min="16" max="16" width="18.140625" customWidth="1"/>
  </cols>
  <sheetData>
    <row r="3" spans="2:25">
      <c r="B3" s="108" t="s">
        <v>2485</v>
      </c>
      <c r="C3" s="108"/>
      <c r="D3" s="108"/>
      <c r="E3" s="105"/>
      <c r="F3" s="105"/>
      <c r="G3" s="105"/>
      <c r="H3" s="108"/>
      <c r="I3" s="108"/>
      <c r="J3" s="108"/>
      <c r="K3" s="108"/>
      <c r="L3" s="108"/>
      <c r="M3" s="108"/>
      <c r="N3" s="108"/>
      <c r="O3" s="108"/>
      <c r="P3" s="102"/>
      <c r="Q3" s="108"/>
      <c r="R3" s="109"/>
      <c r="S3" s="110" t="s">
        <v>2488</v>
      </c>
      <c r="T3" s="108"/>
      <c r="U3" s="108"/>
      <c r="V3" s="110"/>
      <c r="W3" s="108"/>
      <c r="X3" s="108"/>
      <c r="Y3" s="98"/>
    </row>
    <row r="4" spans="2:25" ht="13.5" thickBot="1">
      <c r="B4" s="98"/>
      <c r="C4" s="98"/>
      <c r="D4" s="101"/>
      <c r="E4" s="99"/>
      <c r="F4" s="100"/>
      <c r="G4" s="100"/>
      <c r="H4" s="101"/>
      <c r="I4" s="101"/>
      <c r="J4" s="101"/>
      <c r="K4" s="101"/>
      <c r="L4" s="101"/>
      <c r="M4" s="101"/>
      <c r="N4" s="101"/>
      <c r="O4" s="101"/>
      <c r="P4" s="101"/>
      <c r="Q4" s="101"/>
      <c r="R4" s="101"/>
      <c r="S4" s="111"/>
      <c r="T4" s="101"/>
      <c r="U4" s="101"/>
      <c r="V4" s="111"/>
      <c r="W4" s="101"/>
      <c r="X4" s="101"/>
      <c r="Y4" s="98"/>
    </row>
    <row r="5" spans="2:25" ht="51">
      <c r="B5" s="190" t="s">
        <v>3</v>
      </c>
      <c r="C5" s="190" t="s">
        <v>36</v>
      </c>
      <c r="D5" s="190" t="s">
        <v>2320</v>
      </c>
      <c r="E5" s="190" t="s">
        <v>45</v>
      </c>
      <c r="F5" s="190" t="s">
        <v>61</v>
      </c>
      <c r="G5" s="151" t="s">
        <v>2336</v>
      </c>
      <c r="H5" s="190" t="s">
        <v>5</v>
      </c>
      <c r="I5" s="190" t="s">
        <v>6</v>
      </c>
      <c r="J5" s="190" t="s">
        <v>7</v>
      </c>
      <c r="K5" s="190" t="s">
        <v>59</v>
      </c>
      <c r="L5" s="190" t="s">
        <v>8</v>
      </c>
      <c r="M5" s="190" t="s">
        <v>9</v>
      </c>
      <c r="N5" s="190" t="s">
        <v>10</v>
      </c>
      <c r="O5" s="190" t="s">
        <v>11</v>
      </c>
      <c r="P5" s="190" t="s">
        <v>62</v>
      </c>
      <c r="Q5" s="190" t="s">
        <v>12</v>
      </c>
      <c r="R5" s="190" t="s">
        <v>13</v>
      </c>
      <c r="S5" s="192" t="s">
        <v>14</v>
      </c>
      <c r="T5" s="190" t="s">
        <v>15</v>
      </c>
      <c r="U5" s="190" t="s">
        <v>60</v>
      </c>
      <c r="V5" s="192" t="s">
        <v>17</v>
      </c>
      <c r="W5" s="202" t="s">
        <v>2337</v>
      </c>
      <c r="X5" s="153" t="s">
        <v>18</v>
      </c>
      <c r="Y5" s="190" t="s">
        <v>19</v>
      </c>
    </row>
    <row r="6" spans="2:25" ht="13.5" thickBot="1">
      <c r="B6" s="191"/>
      <c r="C6" s="191"/>
      <c r="D6" s="191"/>
      <c r="E6" s="191"/>
      <c r="F6" s="191"/>
      <c r="G6" s="152"/>
      <c r="H6" s="191"/>
      <c r="I6" s="191"/>
      <c r="J6" s="191"/>
      <c r="K6" s="191"/>
      <c r="L6" s="191"/>
      <c r="M6" s="191"/>
      <c r="N6" s="191"/>
      <c r="O6" s="191"/>
      <c r="P6" s="191"/>
      <c r="Q6" s="191"/>
      <c r="R6" s="191"/>
      <c r="S6" s="193"/>
      <c r="T6" s="191"/>
      <c r="U6" s="191"/>
      <c r="V6" s="193"/>
      <c r="W6" s="203"/>
      <c r="X6" s="90"/>
      <c r="Y6" s="199"/>
    </row>
    <row r="7" spans="2:25" ht="13.5">
      <c r="B7" s="75">
        <v>1</v>
      </c>
      <c r="C7" s="75">
        <v>2</v>
      </c>
      <c r="D7" s="75">
        <v>3</v>
      </c>
      <c r="E7" s="75">
        <v>4</v>
      </c>
      <c r="F7" s="75">
        <v>5</v>
      </c>
      <c r="G7" s="75">
        <v>6</v>
      </c>
      <c r="H7" s="75">
        <v>7</v>
      </c>
      <c r="I7" s="75">
        <v>8</v>
      </c>
      <c r="J7" s="75">
        <v>9</v>
      </c>
      <c r="K7" s="75">
        <v>10</v>
      </c>
      <c r="L7" s="75">
        <v>11</v>
      </c>
      <c r="M7" s="75">
        <v>12</v>
      </c>
      <c r="N7" s="75">
        <v>13</v>
      </c>
      <c r="O7" s="75">
        <v>14</v>
      </c>
      <c r="P7" s="75">
        <v>15</v>
      </c>
      <c r="Q7" s="75">
        <v>16</v>
      </c>
      <c r="R7" s="75">
        <v>17</v>
      </c>
      <c r="S7" s="76">
        <v>18</v>
      </c>
      <c r="T7" s="75">
        <v>19</v>
      </c>
      <c r="U7" s="75">
        <v>20</v>
      </c>
      <c r="V7" s="76">
        <v>21</v>
      </c>
      <c r="W7" s="75">
        <v>22</v>
      </c>
      <c r="X7" s="75">
        <v>23</v>
      </c>
      <c r="Y7" s="75">
        <v>24</v>
      </c>
    </row>
    <row r="8" spans="2:25">
      <c r="B8" s="196" t="s">
        <v>20</v>
      </c>
      <c r="C8" s="233"/>
      <c r="D8" s="233"/>
      <c r="E8" s="233"/>
      <c r="F8" s="233"/>
      <c r="G8" s="233"/>
      <c r="H8" s="233"/>
      <c r="I8" s="233"/>
      <c r="J8" s="233"/>
      <c r="K8" s="233"/>
      <c r="L8" s="233"/>
      <c r="M8" s="233"/>
      <c r="N8" s="233"/>
      <c r="O8" s="233"/>
      <c r="P8" s="233"/>
      <c r="Q8" s="233"/>
      <c r="R8" s="233"/>
      <c r="S8" s="233"/>
      <c r="T8" s="233"/>
      <c r="U8" s="233"/>
      <c r="V8" s="233"/>
      <c r="W8" s="233"/>
      <c r="X8" s="233"/>
      <c r="Y8" s="234"/>
    </row>
    <row r="9" spans="2:25" ht="89.25">
      <c r="B9" s="143" t="s">
        <v>844</v>
      </c>
      <c r="C9" s="144" t="s">
        <v>246</v>
      </c>
      <c r="D9" s="148" t="s">
        <v>2035</v>
      </c>
      <c r="E9" s="145" t="s">
        <v>1983</v>
      </c>
      <c r="F9" s="146" t="s">
        <v>1967</v>
      </c>
      <c r="G9" s="146"/>
      <c r="H9" s="143" t="s">
        <v>243</v>
      </c>
      <c r="I9" s="143">
        <v>0</v>
      </c>
      <c r="J9" s="143">
        <v>75</v>
      </c>
      <c r="K9" s="146" t="s">
        <v>2290</v>
      </c>
      <c r="L9" s="143" t="s">
        <v>1464</v>
      </c>
      <c r="M9" s="146" t="s">
        <v>2290</v>
      </c>
      <c r="N9" s="143" t="s">
        <v>241</v>
      </c>
      <c r="O9" s="143" t="s">
        <v>1502</v>
      </c>
      <c r="P9" s="146" t="s">
        <v>344</v>
      </c>
      <c r="Q9" s="143">
        <v>796</v>
      </c>
      <c r="R9" s="143" t="s">
        <v>1818</v>
      </c>
      <c r="S9" s="147">
        <v>0</v>
      </c>
      <c r="T9" s="147">
        <v>30702</v>
      </c>
      <c r="U9" s="147">
        <f t="shared" ref="U9:U12" si="0">V9/112*100</f>
        <v>0</v>
      </c>
      <c r="V9" s="147">
        <v>0</v>
      </c>
      <c r="W9" s="143"/>
      <c r="X9" s="143">
        <v>2012</v>
      </c>
      <c r="Y9" s="143" t="s">
        <v>2506</v>
      </c>
    </row>
    <row r="10" spans="2:25" ht="89.25">
      <c r="B10" s="143" t="s">
        <v>2525</v>
      </c>
      <c r="C10" s="144" t="s">
        <v>246</v>
      </c>
      <c r="D10" s="148" t="s">
        <v>2035</v>
      </c>
      <c r="E10" s="145" t="s">
        <v>1983</v>
      </c>
      <c r="F10" s="146" t="s">
        <v>1967</v>
      </c>
      <c r="G10" s="146"/>
      <c r="H10" s="143" t="s">
        <v>243</v>
      </c>
      <c r="I10" s="143">
        <v>0</v>
      </c>
      <c r="J10" s="143">
        <v>75</v>
      </c>
      <c r="K10" s="146" t="s">
        <v>2290</v>
      </c>
      <c r="L10" s="143" t="s">
        <v>1464</v>
      </c>
      <c r="M10" s="146" t="s">
        <v>2290</v>
      </c>
      <c r="N10" s="143" t="s">
        <v>241</v>
      </c>
      <c r="O10" s="143" t="s">
        <v>1502</v>
      </c>
      <c r="P10" s="146" t="s">
        <v>344</v>
      </c>
      <c r="Q10" s="143">
        <v>796</v>
      </c>
      <c r="R10" s="143" t="s">
        <v>1818</v>
      </c>
      <c r="S10" s="147">
        <v>18</v>
      </c>
      <c r="T10" s="147">
        <f t="shared" ref="T10:T12" si="1">V10/114*100/S10</f>
        <v>32894.73684210526</v>
      </c>
      <c r="U10" s="147">
        <f t="shared" si="0"/>
        <v>602678.57142857148</v>
      </c>
      <c r="V10" s="147">
        <v>675000</v>
      </c>
      <c r="W10" s="143"/>
      <c r="X10" s="143">
        <v>2012</v>
      </c>
      <c r="Y10" s="143"/>
    </row>
    <row r="11" spans="2:25" ht="102">
      <c r="B11" s="143" t="s">
        <v>845</v>
      </c>
      <c r="C11" s="144" t="s">
        <v>246</v>
      </c>
      <c r="D11" s="150" t="s">
        <v>266</v>
      </c>
      <c r="E11" s="145" t="s">
        <v>1984</v>
      </c>
      <c r="F11" s="146" t="s">
        <v>1985</v>
      </c>
      <c r="G11" s="146"/>
      <c r="H11" s="143" t="s">
        <v>243</v>
      </c>
      <c r="I11" s="143">
        <v>0</v>
      </c>
      <c r="J11" s="143">
        <v>75</v>
      </c>
      <c r="K11" s="146" t="s">
        <v>2290</v>
      </c>
      <c r="L11" s="143" t="s">
        <v>1464</v>
      </c>
      <c r="M11" s="146" t="s">
        <v>2290</v>
      </c>
      <c r="N11" s="143" t="s">
        <v>241</v>
      </c>
      <c r="O11" s="143" t="s">
        <v>1502</v>
      </c>
      <c r="P11" s="146" t="s">
        <v>344</v>
      </c>
      <c r="Q11" s="143">
        <v>796</v>
      </c>
      <c r="R11" s="143" t="s">
        <v>1818</v>
      </c>
      <c r="S11" s="147">
        <v>0</v>
      </c>
      <c r="T11" s="147">
        <v>39474</v>
      </c>
      <c r="U11" s="147">
        <f t="shared" si="0"/>
        <v>0</v>
      </c>
      <c r="V11" s="147">
        <v>0</v>
      </c>
      <c r="W11" s="143"/>
      <c r="X11" s="143">
        <v>2012</v>
      </c>
      <c r="Y11" s="143" t="s">
        <v>2506</v>
      </c>
    </row>
    <row r="12" spans="2:25" ht="102">
      <c r="B12" s="143" t="s">
        <v>2526</v>
      </c>
      <c r="C12" s="144" t="s">
        <v>246</v>
      </c>
      <c r="D12" s="150" t="s">
        <v>266</v>
      </c>
      <c r="E12" s="145" t="s">
        <v>1984</v>
      </c>
      <c r="F12" s="146" t="s">
        <v>1985</v>
      </c>
      <c r="G12" s="146"/>
      <c r="H12" s="143" t="s">
        <v>243</v>
      </c>
      <c r="I12" s="143">
        <v>0</v>
      </c>
      <c r="J12" s="143">
        <v>75</v>
      </c>
      <c r="K12" s="146" t="s">
        <v>2290</v>
      </c>
      <c r="L12" s="143" t="s">
        <v>1464</v>
      </c>
      <c r="M12" s="146" t="s">
        <v>2290</v>
      </c>
      <c r="N12" s="143" t="s">
        <v>241</v>
      </c>
      <c r="O12" s="143" t="s">
        <v>1502</v>
      </c>
      <c r="P12" s="146" t="s">
        <v>344</v>
      </c>
      <c r="Q12" s="143">
        <v>796</v>
      </c>
      <c r="R12" s="143" t="s">
        <v>1818</v>
      </c>
      <c r="S12" s="147">
        <v>16</v>
      </c>
      <c r="T12" s="147">
        <f t="shared" si="1"/>
        <v>39473.68421052632</v>
      </c>
      <c r="U12" s="147">
        <f t="shared" si="0"/>
        <v>642857.14285714284</v>
      </c>
      <c r="V12" s="147">
        <v>720000</v>
      </c>
      <c r="W12" s="143"/>
      <c r="X12" s="143">
        <v>2012</v>
      </c>
      <c r="Y12" s="143"/>
    </row>
    <row r="13" spans="2:25">
      <c r="D13" s="147"/>
      <c r="F13" s="54"/>
      <c r="G13" s="149"/>
      <c r="I13" s="147"/>
      <c r="J13" s="149"/>
    </row>
    <row r="14" spans="2:25">
      <c r="D14" s="147"/>
      <c r="F14" s="54"/>
      <c r="G14" s="149"/>
      <c r="I14" s="147"/>
      <c r="J14" s="149"/>
    </row>
    <row r="15" spans="2:25">
      <c r="D15" s="147"/>
      <c r="F15" s="54"/>
      <c r="G15" s="149"/>
      <c r="I15" s="147"/>
      <c r="J15" s="149"/>
    </row>
    <row r="16" spans="2:25">
      <c r="D16" s="147"/>
      <c r="F16" s="54"/>
      <c r="G16" s="149"/>
      <c r="I16" s="147"/>
      <c r="J16" s="149"/>
    </row>
    <row r="17" spans="4:10">
      <c r="D17" s="147"/>
      <c r="F17" s="54"/>
      <c r="G17" s="149"/>
      <c r="I17" s="147"/>
      <c r="J17" s="149"/>
    </row>
  </sheetData>
  <mergeCells count="23">
    <mergeCell ref="N5:N6"/>
    <mergeCell ref="B5:B6"/>
    <mergeCell ref="C5:C6"/>
    <mergeCell ref="D5:D6"/>
    <mergeCell ref="E5:E6"/>
    <mergeCell ref="F5:F6"/>
    <mergeCell ref="H5:H6"/>
    <mergeCell ref="U5:U6"/>
    <mergeCell ref="V5:V6"/>
    <mergeCell ref="W5:W6"/>
    <mergeCell ref="Y5:Y6"/>
    <mergeCell ref="B8:Y8"/>
    <mergeCell ref="O5:O6"/>
    <mergeCell ref="P5:P6"/>
    <mergeCell ref="Q5:Q6"/>
    <mergeCell ref="R5:R6"/>
    <mergeCell ref="S5:S6"/>
    <mergeCell ref="T5:T6"/>
    <mergeCell ref="I5:I6"/>
    <mergeCell ref="J5:J6"/>
    <mergeCell ref="K5:K6"/>
    <mergeCell ref="L5:L6"/>
    <mergeCell ref="M5: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Приложение 1</vt:lpstr>
      <vt:lpstr>Лист1</vt:lpstr>
      <vt:lpstr>Приложение № 2</vt:lpstr>
      <vt:lpstr>Приложение №3</vt:lpstr>
      <vt:lpstr>Лист2</vt:lpstr>
      <vt:lpstr>'Приложение 1'!Область_печати</vt:lpstr>
      <vt:lpstr>'Приложение №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fund</cp:lastModifiedBy>
  <cp:lastPrinted>2011-12-23T06:45:30Z</cp:lastPrinted>
  <dcterms:created xsi:type="dcterms:W3CDTF">1996-10-08T23:32:33Z</dcterms:created>
  <dcterms:modified xsi:type="dcterms:W3CDTF">2012-05-31T05:10:13Z</dcterms:modified>
</cp:coreProperties>
</file>