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60" windowWidth="17310" windowHeight="8715" tabRatio="929"/>
  </bookViews>
  <sheets>
    <sheet name="ГПЗ 2014 общий" sheetId="14" r:id="rId1"/>
    <sheet name="Приложение № 1" sheetId="19" r:id="rId2"/>
    <sheet name="Лист1 " sheetId="10" r:id="rId3"/>
  </sheets>
  <definedNames>
    <definedName name="_xlnm._FilterDatabase" localSheetId="0" hidden="1">'ГПЗ 2014 общий'!$L$1:$S$2094</definedName>
    <definedName name="_xlnm._FilterDatabase" localSheetId="1" hidden="1">'Приложение № 1'!$L$1:$S$121</definedName>
    <definedName name="_xlnm.Print_Area" localSheetId="0">'ГПЗ 2014 общий'!$A$1:$T$2090</definedName>
    <definedName name="_xlnm.Print_Area" localSheetId="1">'Приложение № 1'!$A$1:$T$117</definedName>
  </definedNames>
  <calcPr calcId="125725"/>
</workbook>
</file>

<file path=xl/calcChain.xml><?xml version="1.0" encoding="utf-8"?>
<calcChain xmlns="http://schemas.openxmlformats.org/spreadsheetml/2006/main">
  <c r="P50" i="19"/>
  <c r="O50"/>
  <c r="P43"/>
  <c r="O43" s="1"/>
  <c r="P1353" i="14"/>
  <c r="O1353"/>
  <c r="O113" i="19" l="1"/>
  <c r="O112"/>
  <c r="O111"/>
  <c r="O110"/>
  <c r="O109"/>
  <c r="O108"/>
  <c r="O107"/>
  <c r="O106"/>
  <c r="O105"/>
  <c r="O104"/>
  <c r="O103"/>
  <c r="O102"/>
  <c r="O101"/>
  <c r="O100"/>
  <c r="O99"/>
  <c r="O98"/>
  <c r="O97"/>
  <c r="O96"/>
  <c r="O95"/>
  <c r="O94"/>
  <c r="O93"/>
  <c r="P92"/>
  <c r="O92" s="1"/>
  <c r="O91"/>
  <c r="O90"/>
  <c r="O89"/>
  <c r="P88"/>
  <c r="O88"/>
  <c r="P87"/>
  <c r="O87"/>
  <c r="P86"/>
  <c r="P85"/>
  <c r="O85" s="1"/>
  <c r="P84"/>
  <c r="O84" s="1"/>
  <c r="P83"/>
  <c r="O83" s="1"/>
  <c r="P82"/>
  <c r="O82" s="1"/>
  <c r="P81"/>
  <c r="O81" s="1"/>
  <c r="P80"/>
  <c r="O80" s="1"/>
  <c r="P79"/>
  <c r="O79" s="1"/>
  <c r="P78"/>
  <c r="O78" s="1"/>
  <c r="P77"/>
  <c r="O77" s="1"/>
  <c r="P76"/>
  <c r="O76" s="1"/>
  <c r="P75"/>
  <c r="O75" s="1"/>
  <c r="P74"/>
  <c r="O74" s="1"/>
  <c r="P73"/>
  <c r="O73" s="1"/>
  <c r="P72"/>
  <c r="O72" s="1"/>
  <c r="P71"/>
  <c r="O71" s="1"/>
  <c r="P70"/>
  <c r="O70" s="1"/>
  <c r="P69"/>
  <c r="O69" s="1"/>
  <c r="P68"/>
  <c r="O68" s="1"/>
  <c r="P67"/>
  <c r="O67" s="1"/>
  <c r="P66"/>
  <c r="O66"/>
  <c r="P65"/>
  <c r="O65"/>
  <c r="P64"/>
  <c r="O64"/>
  <c r="P63"/>
  <c r="O63"/>
  <c r="P62"/>
  <c r="O62"/>
  <c r="P61"/>
  <c r="O61"/>
  <c r="P60"/>
  <c r="O60"/>
  <c r="P59"/>
  <c r="O59"/>
  <c r="P58"/>
  <c r="O58"/>
  <c r="P57"/>
  <c r="O57"/>
  <c r="P56"/>
  <c r="O56"/>
  <c r="P55"/>
  <c r="O55"/>
  <c r="P54"/>
  <c r="O54" s="1"/>
  <c r="P53"/>
  <c r="O53" s="1"/>
  <c r="P52"/>
  <c r="O52" s="1"/>
  <c r="P51"/>
  <c r="O51" s="1"/>
  <c r="P49"/>
  <c r="O49" s="1"/>
  <c r="P48"/>
  <c r="O48" s="1"/>
  <c r="P47"/>
  <c r="O47"/>
  <c r="P46"/>
  <c r="P45"/>
  <c r="O45" s="1"/>
  <c r="P44"/>
  <c r="O44" s="1"/>
  <c r="P42"/>
  <c r="P41"/>
  <c r="P40"/>
  <c r="P39"/>
  <c r="O39"/>
  <c r="P38"/>
  <c r="O38" s="1"/>
  <c r="P37"/>
  <c r="P36"/>
  <c r="O36" s="1"/>
  <c r="P35"/>
  <c r="P34"/>
  <c r="O34" s="1"/>
  <c r="P33"/>
  <c r="P32"/>
  <c r="O32"/>
  <c r="P31"/>
  <c r="O31"/>
  <c r="P30"/>
  <c r="O30" s="1"/>
  <c r="P29"/>
  <c r="P28"/>
  <c r="O28" s="1"/>
  <c r="P27"/>
  <c r="O27" s="1"/>
  <c r="P26"/>
  <c r="O26" s="1"/>
  <c r="P25"/>
  <c r="O25" s="1"/>
  <c r="P24"/>
  <c r="P23"/>
  <c r="P22"/>
  <c r="O22"/>
  <c r="P21"/>
  <c r="O21"/>
  <c r="P20"/>
  <c r="P19"/>
  <c r="P18"/>
  <c r="P17"/>
  <c r="P2086" i="14"/>
  <c r="O2084"/>
  <c r="O2085"/>
  <c r="P53"/>
  <c r="P899"/>
  <c r="P1501"/>
  <c r="O2083"/>
  <c r="O2082"/>
  <c r="O2081" l="1"/>
  <c r="P1226" l="1"/>
  <c r="O2080"/>
  <c r="O2079"/>
  <c r="P1363"/>
  <c r="O1363" s="1"/>
  <c r="P1041"/>
  <c r="O1041" s="1"/>
  <c r="O2077"/>
  <c r="O2078"/>
  <c r="P1355"/>
  <c r="O1355" s="1"/>
  <c r="P62"/>
  <c r="O62" s="1"/>
  <c r="P61"/>
  <c r="O61" s="1"/>
  <c r="P57"/>
  <c r="O57" s="1"/>
  <c r="P55"/>
  <c r="P65"/>
  <c r="O65" s="1"/>
  <c r="P60"/>
  <c r="O60" s="1"/>
  <c r="P52"/>
  <c r="O52" s="1"/>
  <c r="O53"/>
  <c r="O2076"/>
  <c r="O2075"/>
  <c r="O2074"/>
  <c r="O2073"/>
  <c r="O2071"/>
  <c r="O2070"/>
  <c r="O2069"/>
  <c r="O2072"/>
  <c r="O2067"/>
  <c r="O2066"/>
  <c r="O2068"/>
  <c r="P16" i="10" l="1"/>
  <c r="P13"/>
  <c r="P12"/>
  <c r="P10"/>
  <c r="P8"/>
  <c r="P15"/>
  <c r="P11"/>
  <c r="P6"/>
  <c r="P9"/>
  <c r="P14"/>
  <c r="P7"/>
  <c r="P104" i="14"/>
  <c r="O1226"/>
  <c r="P1210"/>
  <c r="O1210" s="1"/>
  <c r="O2065"/>
  <c r="P1877" l="1"/>
  <c r="P1467"/>
  <c r="O1467" s="1"/>
  <c r="P1464"/>
  <c r="O1464"/>
  <c r="P2064"/>
  <c r="O2063"/>
  <c r="O2062"/>
  <c r="O2061"/>
  <c r="O2064"/>
  <c r="P1928"/>
  <c r="P1927"/>
  <c r="P1651"/>
  <c r="P1650"/>
  <c r="P1649"/>
  <c r="P1648"/>
  <c r="P1647"/>
  <c r="P1646"/>
  <c r="P1645"/>
  <c r="P1644"/>
  <c r="P1643"/>
  <c r="P1642"/>
  <c r="P1641"/>
  <c r="P1640"/>
  <c r="P1639"/>
  <c r="P1638"/>
  <c r="P1637"/>
  <c r="P1636"/>
  <c r="O1637"/>
  <c r="O1638"/>
  <c r="O1639"/>
  <c r="O1640"/>
  <c r="O1641"/>
  <c r="O1642"/>
  <c r="O1643"/>
  <c r="O1644"/>
  <c r="O1645"/>
  <c r="O1646"/>
  <c r="O1647"/>
  <c r="O1648"/>
  <c r="O1649"/>
  <c r="O1650"/>
  <c r="O1651"/>
  <c r="P1619"/>
  <c r="P1614"/>
  <c r="O1614" s="1"/>
  <c r="P1611"/>
  <c r="P1609"/>
  <c r="P1608"/>
  <c r="P1607"/>
  <c r="O1608"/>
  <c r="O1609"/>
  <c r="O1610"/>
  <c r="O1611"/>
  <c r="O1612"/>
  <c r="O1613"/>
  <c r="O1615"/>
  <c r="O1616"/>
  <c r="O1617"/>
  <c r="O1618"/>
  <c r="O1619"/>
  <c r="O1607"/>
  <c r="P1606"/>
  <c r="P1605"/>
  <c r="O1605" s="1"/>
  <c r="P1600"/>
  <c r="P1597"/>
  <c r="O1597" s="1"/>
  <c r="P1596"/>
  <c r="P1595"/>
  <c r="O1595" s="1"/>
  <c r="P1594"/>
  <c r="P1593"/>
  <c r="O1593" s="1"/>
  <c r="O1596"/>
  <c r="O1598"/>
  <c r="O1599"/>
  <c r="O1600"/>
  <c r="O1601"/>
  <c r="O1602"/>
  <c r="O1603"/>
  <c r="O1604"/>
  <c r="O1606"/>
  <c r="O1594"/>
  <c r="P1592"/>
  <c r="O1592" s="1"/>
  <c r="P1591"/>
  <c r="O1591" s="1"/>
  <c r="P1584"/>
  <c r="O1584" s="1"/>
  <c r="P1582"/>
  <c r="O1582" s="1"/>
  <c r="P1580"/>
  <c r="P1579"/>
  <c r="O1579" s="1"/>
  <c r="O2060" l="1"/>
  <c r="P1881"/>
  <c r="O2059"/>
  <c r="O2058"/>
  <c r="O2057"/>
  <c r="O2056"/>
  <c r="P1938"/>
  <c r="P1545"/>
  <c r="P1939"/>
  <c r="P1543"/>
  <c r="O2055"/>
  <c r="P1561"/>
  <c r="O1561" s="1"/>
  <c r="P1557"/>
  <c r="O1557" s="1"/>
  <c r="P1577"/>
  <c r="P1576"/>
  <c r="P1575"/>
  <c r="P1574"/>
  <c r="P1573"/>
  <c r="P1572"/>
  <c r="P1571"/>
  <c r="P1570"/>
  <c r="P1569"/>
  <c r="O1569" s="1"/>
  <c r="P1568"/>
  <c r="P1567"/>
  <c r="O1567" s="1"/>
  <c r="P1565"/>
  <c r="P1566"/>
  <c r="O1566" s="1"/>
  <c r="P1564"/>
  <c r="P1563"/>
  <c r="P1562"/>
  <c r="O1563"/>
  <c r="O1564"/>
  <c r="O1565"/>
  <c r="O1568"/>
  <c r="O1570"/>
  <c r="O1571"/>
  <c r="O1572"/>
  <c r="O1573"/>
  <c r="O1574"/>
  <c r="O1575"/>
  <c r="O1576"/>
  <c r="O1577"/>
  <c r="O1562"/>
  <c r="O2050" l="1"/>
  <c r="O2053" l="1"/>
  <c r="O2054"/>
  <c r="P389"/>
  <c r="P392"/>
  <c r="O392" s="1"/>
  <c r="O390"/>
  <c r="P390"/>
  <c r="O385"/>
  <c r="P385"/>
  <c r="O383"/>
  <c r="P383"/>
  <c r="O382"/>
  <c r="P382"/>
  <c r="O380"/>
  <c r="P380"/>
  <c r="O379"/>
  <c r="P379"/>
  <c r="O377"/>
  <c r="P377"/>
  <c r="O376"/>
  <c r="P376"/>
  <c r="O399"/>
  <c r="P399"/>
  <c r="O393"/>
  <c r="P393"/>
  <c r="O387"/>
  <c r="P387"/>
  <c r="O799"/>
  <c r="P799"/>
  <c r="O389"/>
  <c r="P397"/>
  <c r="O397" s="1"/>
  <c r="P394"/>
  <c r="P386"/>
  <c r="O386" s="1"/>
  <c r="P384"/>
  <c r="O384" s="1"/>
  <c r="P381"/>
  <c r="O381" s="1"/>
  <c r="O378"/>
  <c r="P378"/>
  <c r="N391"/>
  <c r="P391"/>
  <c r="N388"/>
  <c r="P388"/>
  <c r="O2051"/>
  <c r="O388" l="1"/>
  <c r="O391"/>
  <c r="O104"/>
  <c r="P37"/>
  <c r="O37" s="1"/>
  <c r="P38"/>
  <c r="O38" s="1"/>
  <c r="O2052" l="1"/>
  <c r="P1874" l="1"/>
  <c r="O2048"/>
  <c r="O2047"/>
  <c r="O2046"/>
  <c r="O2045"/>
  <c r="O2049"/>
  <c r="O2044" l="1"/>
  <c r="O2043"/>
  <c r="O2042"/>
  <c r="O2041"/>
  <c r="P1166" l="1"/>
  <c r="O2039"/>
  <c r="P1192"/>
  <c r="P1504" l="1"/>
  <c r="P1218" l="1"/>
  <c r="O2040" l="1"/>
  <c r="P1334"/>
  <c r="O1334" s="1"/>
  <c r="O1192"/>
  <c r="O2038" l="1"/>
  <c r="P143"/>
  <c r="O143" s="1"/>
  <c r="O2035"/>
  <c r="O2037"/>
  <c r="O2036"/>
  <c r="O1166" l="1"/>
  <c r="N888"/>
  <c r="P838"/>
  <c r="O838" s="1"/>
  <c r="P828"/>
  <c r="O828" s="1"/>
  <c r="P815"/>
  <c r="O815" s="1"/>
  <c r="P852"/>
  <c r="O852" s="1"/>
  <c r="P1351"/>
  <c r="O1351" s="1"/>
  <c r="P830"/>
  <c r="O830" s="1"/>
  <c r="P1085"/>
  <c r="O1085" s="1"/>
  <c r="P1198"/>
  <c r="O1198" s="1"/>
  <c r="P1710"/>
  <c r="O1710" s="1"/>
  <c r="P958"/>
  <c r="O958" s="1"/>
  <c r="N1895"/>
  <c r="P101"/>
  <c r="O2033"/>
  <c r="O2034"/>
  <c r="P903"/>
  <c r="O903" s="1"/>
  <c r="P892"/>
  <c r="O892" s="1"/>
  <c r="P890"/>
  <c r="O890" s="1"/>
  <c r="O2032"/>
  <c r="O2030"/>
  <c r="O2029"/>
  <c r="O2028"/>
  <c r="O899"/>
  <c r="P254"/>
  <c r="O254" s="1"/>
  <c r="P103"/>
  <c r="O103" s="1"/>
  <c r="P102"/>
  <c r="O102" s="1"/>
  <c r="O101"/>
  <c r="O2023"/>
  <c r="P1895"/>
  <c r="O2024"/>
  <c r="O2021"/>
  <c r="O2020"/>
  <c r="O2022"/>
  <c r="O2019"/>
  <c r="O2025"/>
  <c r="O2031"/>
  <c r="O2027"/>
  <c r="O2026" l="1"/>
  <c r="O2018"/>
  <c r="P1465"/>
  <c r="O1465" s="1"/>
  <c r="O2017"/>
  <c r="O2016"/>
  <c r="O2015"/>
  <c r="P41"/>
  <c r="O41" s="1"/>
  <c r="P39"/>
  <c r="O39" s="1"/>
  <c r="P49"/>
  <c r="O49" s="1"/>
  <c r="P47"/>
  <c r="O47" s="1"/>
  <c r="O2014"/>
  <c r="O2013" l="1"/>
  <c r="P1507"/>
  <c r="O1507" s="1"/>
  <c r="P1548"/>
  <c r="P1515"/>
  <c r="O1515" s="1"/>
  <c r="P1503"/>
  <c r="O1503" s="1"/>
  <c r="O1501"/>
  <c r="P1514"/>
  <c r="O1514" s="1"/>
  <c r="P1512"/>
  <c r="O1512" s="1"/>
  <c r="P1511"/>
  <c r="O1511" s="1"/>
  <c r="P1509"/>
  <c r="O1509" s="1"/>
  <c r="P1508"/>
  <c r="O1508" s="1"/>
  <c r="O1504"/>
  <c r="P1502"/>
  <c r="O1502" s="1"/>
  <c r="P1194"/>
  <c r="O2005"/>
  <c r="P1148"/>
  <c r="O1148" s="1"/>
  <c r="O2009" l="1"/>
  <c r="O1218"/>
  <c r="P1401"/>
  <c r="O1401" s="1"/>
  <c r="O2004"/>
  <c r="P1156"/>
  <c r="P1163"/>
  <c r="P912"/>
  <c r="O912" s="1"/>
  <c r="P1451"/>
  <c r="O2010"/>
  <c r="O2007" l="1"/>
  <c r="O2006"/>
  <c r="O2008"/>
  <c r="O2011"/>
  <c r="O2012"/>
  <c r="P1941" l="1"/>
  <c r="P1940"/>
  <c r="O1940" s="1"/>
  <c r="O2001"/>
  <c r="P1944"/>
  <c r="O1944" s="1"/>
  <c r="O2000"/>
  <c r="P1942"/>
  <c r="O1942" s="1"/>
  <c r="P1934"/>
  <c r="P1933"/>
  <c r="O1933" s="1"/>
  <c r="O2003"/>
  <c r="P1703"/>
  <c r="O1703" s="1"/>
  <c r="O1194"/>
  <c r="P1149"/>
  <c r="O1149" s="1"/>
  <c r="P1359"/>
  <c r="O1359" s="1"/>
  <c r="O1881"/>
  <c r="P1142"/>
  <c r="O1999"/>
  <c r="O1998"/>
  <c r="O1997"/>
  <c r="O1996"/>
  <c r="O1995"/>
  <c r="O1994"/>
  <c r="O1993"/>
  <c r="O1992"/>
  <c r="O1991"/>
  <c r="O1990"/>
  <c r="O1989"/>
  <c r="O1988"/>
  <c r="O1987"/>
  <c r="O1986"/>
  <c r="O1985"/>
  <c r="O1984"/>
  <c r="O1983"/>
  <c r="O1982"/>
  <c r="O1981"/>
  <c r="O1980"/>
  <c r="O1979"/>
  <c r="O1978"/>
  <c r="O1977"/>
  <c r="O1976"/>
  <c r="O1975"/>
  <c r="O1974"/>
  <c r="O1973"/>
  <c r="O1972"/>
  <c r="O1971"/>
  <c r="O1970"/>
  <c r="O1969"/>
  <c r="O1968"/>
  <c r="O1967"/>
  <c r="O1966"/>
  <c r="O1965"/>
  <c r="O1964"/>
  <c r="O1963"/>
  <c r="O1962"/>
  <c r="O1961"/>
  <c r="O1960"/>
  <c r="O1959"/>
  <c r="O1958"/>
  <c r="O1957"/>
  <c r="O1956"/>
  <c r="O1955"/>
  <c r="O1954"/>
  <c r="O1953"/>
  <c r="O1952"/>
  <c r="O1951"/>
  <c r="O1950"/>
  <c r="O1949"/>
  <c r="O1948"/>
  <c r="O1947"/>
  <c r="O1946"/>
  <c r="O1945"/>
  <c r="O1943"/>
  <c r="O1941"/>
  <c r="O1939"/>
  <c r="O1938"/>
  <c r="O1937"/>
  <c r="O1936"/>
  <c r="O1935"/>
  <c r="O1934"/>
  <c r="O1932"/>
  <c r="O1931"/>
  <c r="O1928"/>
  <c r="O1927"/>
  <c r="O1926"/>
  <c r="O1925"/>
  <c r="O1924"/>
  <c r="O1923"/>
  <c r="O1922"/>
  <c r="O1921"/>
  <c r="O1920"/>
  <c r="O1919"/>
  <c r="O1918"/>
  <c r="O1917"/>
  <c r="O1916"/>
  <c r="O1915"/>
  <c r="O1914"/>
  <c r="O1913"/>
  <c r="O1912"/>
  <c r="O1911"/>
  <c r="O1909"/>
  <c r="O1908"/>
  <c r="O1907"/>
  <c r="O1906"/>
  <c r="O1905"/>
  <c r="O1904"/>
  <c r="P1903"/>
  <c r="O1903" s="1"/>
  <c r="O1902"/>
  <c r="O1901"/>
  <c r="O1900"/>
  <c r="O1899"/>
  <c r="O1898"/>
  <c r="O1897"/>
  <c r="O1896"/>
  <c r="O1895"/>
  <c r="O1894"/>
  <c r="O1893"/>
  <c r="O1892"/>
  <c r="O1891"/>
  <c r="O1890"/>
  <c r="O1889"/>
  <c r="O1888"/>
  <c r="O1887"/>
  <c r="O1886"/>
  <c r="O1885"/>
  <c r="O1884"/>
  <c r="O1883"/>
  <c r="P1882"/>
  <c r="O1882" s="1"/>
  <c r="O1880"/>
  <c r="O1879"/>
  <c r="O1878"/>
  <c r="P1876"/>
  <c r="P1875"/>
  <c r="O1874"/>
  <c r="P1873"/>
  <c r="P1872"/>
  <c r="P1871"/>
  <c r="P1870"/>
  <c r="P1869"/>
  <c r="P1868"/>
  <c r="P1867"/>
  <c r="P1866"/>
  <c r="P1865"/>
  <c r="P1864"/>
  <c r="P1863"/>
  <c r="P1862"/>
  <c r="P1861"/>
  <c r="P1860"/>
  <c r="P1859"/>
  <c r="P1858"/>
  <c r="P1857"/>
  <c r="P1856"/>
  <c r="P1855"/>
  <c r="P1854"/>
  <c r="P1853"/>
  <c r="P1852"/>
  <c r="P1851"/>
  <c r="P1850"/>
  <c r="P1849"/>
  <c r="P1848"/>
  <c r="P1847"/>
  <c r="P1846"/>
  <c r="P1845"/>
  <c r="P1844"/>
  <c r="P1843"/>
  <c r="P1842"/>
  <c r="P1841"/>
  <c r="P1840"/>
  <c r="P1839"/>
  <c r="P1838"/>
  <c r="P1837"/>
  <c r="P1836"/>
  <c r="P1835"/>
  <c r="P1834"/>
  <c r="P1833"/>
  <c r="P1832"/>
  <c r="P1831"/>
  <c r="P1830"/>
  <c r="P1829"/>
  <c r="P1828"/>
  <c r="P1827"/>
  <c r="P1826"/>
  <c r="P1825"/>
  <c r="P1824"/>
  <c r="P1823"/>
  <c r="P1822"/>
  <c r="P1821"/>
  <c r="P1820"/>
  <c r="P1819"/>
  <c r="P1818"/>
  <c r="P1817"/>
  <c r="P1816"/>
  <c r="P1815"/>
  <c r="P1814"/>
  <c r="P1813"/>
  <c r="P1812"/>
  <c r="P1811"/>
  <c r="P1810"/>
  <c r="P1809"/>
  <c r="P1808"/>
  <c r="P1807"/>
  <c r="P1806"/>
  <c r="P1805"/>
  <c r="P1804"/>
  <c r="P1803"/>
  <c r="P1802"/>
  <c r="P1801"/>
  <c r="P1800"/>
  <c r="P1799"/>
  <c r="P1798"/>
  <c r="P1797"/>
  <c r="P1796"/>
  <c r="P1795"/>
  <c r="P1794"/>
  <c r="P1793"/>
  <c r="P1792"/>
  <c r="P1791"/>
  <c r="P1790"/>
  <c r="P1789"/>
  <c r="P1788"/>
  <c r="P1787"/>
  <c r="P1786"/>
  <c r="P1785"/>
  <c r="P1784"/>
  <c r="P1783"/>
  <c r="P1782"/>
  <c r="P1781"/>
  <c r="P1780"/>
  <c r="P1779"/>
  <c r="P1778"/>
  <c r="P1777"/>
  <c r="P1776"/>
  <c r="P1775"/>
  <c r="P1774"/>
  <c r="P1773"/>
  <c r="O1773" s="1"/>
  <c r="P1772"/>
  <c r="O1772" s="1"/>
  <c r="P1771"/>
  <c r="O1771" s="1"/>
  <c r="P1770"/>
  <c r="O1770" s="1"/>
  <c r="P1769"/>
  <c r="O1769" s="1"/>
  <c r="P1768"/>
  <c r="O1768" s="1"/>
  <c r="P1767"/>
  <c r="O1767" s="1"/>
  <c r="P1766"/>
  <c r="O1766" s="1"/>
  <c r="P1765"/>
  <c r="O1765" s="1"/>
  <c r="P1764"/>
  <c r="O1764" s="1"/>
  <c r="P1763"/>
  <c r="O1763" s="1"/>
  <c r="P1762"/>
  <c r="O1762" s="1"/>
  <c r="P1761"/>
  <c r="O1761" s="1"/>
  <c r="P1760"/>
  <c r="O1760" s="1"/>
  <c r="P1759"/>
  <c r="O1759" s="1"/>
  <c r="P1758"/>
  <c r="O1758" s="1"/>
  <c r="P1757"/>
  <c r="O1757" s="1"/>
  <c r="P1756"/>
  <c r="O1756" s="1"/>
  <c r="P1755"/>
  <c r="O1755" s="1"/>
  <c r="P1754"/>
  <c r="O1754" s="1"/>
  <c r="P1753"/>
  <c r="O1753" s="1"/>
  <c r="P1752"/>
  <c r="O1752" s="1"/>
  <c r="P1751"/>
  <c r="O1751" s="1"/>
  <c r="P1750"/>
  <c r="O1750" s="1"/>
  <c r="P1749"/>
  <c r="O1749" s="1"/>
  <c r="P1748"/>
  <c r="O1748" s="1"/>
  <c r="P1747"/>
  <c r="O1747" s="1"/>
  <c r="P1746"/>
  <c r="O1746" s="1"/>
  <c r="O1745"/>
  <c r="O1744"/>
  <c r="P1743"/>
  <c r="O1743" s="1"/>
  <c r="P1742"/>
  <c r="O1742" s="1"/>
  <c r="P1741"/>
  <c r="O1741" s="1"/>
  <c r="P1740"/>
  <c r="O1740" s="1"/>
  <c r="P1739"/>
  <c r="O1739" s="1"/>
  <c r="P1738"/>
  <c r="O1738" s="1"/>
  <c r="P1737"/>
  <c r="O1737" s="1"/>
  <c r="P1736"/>
  <c r="O1736" s="1"/>
  <c r="P1735"/>
  <c r="O1735" s="1"/>
  <c r="P1734"/>
  <c r="O1734" s="1"/>
  <c r="P1733"/>
  <c r="O1733" s="1"/>
  <c r="P1732"/>
  <c r="O1732" s="1"/>
  <c r="P1731"/>
  <c r="O1731" s="1"/>
  <c r="P1730"/>
  <c r="O1730" s="1"/>
  <c r="P1729"/>
  <c r="O1729" s="1"/>
  <c r="P1728"/>
  <c r="O1728" s="1"/>
  <c r="P1727"/>
  <c r="O1727" s="1"/>
  <c r="P1726"/>
  <c r="O1726" s="1"/>
  <c r="P1725"/>
  <c r="O1725" s="1"/>
  <c r="P1724"/>
  <c r="O1724" s="1"/>
  <c r="P1723"/>
  <c r="O1723" s="1"/>
  <c r="P1722"/>
  <c r="O1722" s="1"/>
  <c r="P1721"/>
  <c r="O1721" s="1"/>
  <c r="P1720"/>
  <c r="O1720" s="1"/>
  <c r="P1719"/>
  <c r="P1718"/>
  <c r="P1717"/>
  <c r="P1716"/>
  <c r="P1715"/>
  <c r="P1714"/>
  <c r="P1713"/>
  <c r="P1712"/>
  <c r="O1712" s="1"/>
  <c r="P1711"/>
  <c r="P1709"/>
  <c r="P1708"/>
  <c r="P1707"/>
  <c r="O1707" s="1"/>
  <c r="P1706"/>
  <c r="P1705"/>
  <c r="P1704"/>
  <c r="P1702"/>
  <c r="P1701"/>
  <c r="P1700"/>
  <c r="P1699"/>
  <c r="P1698"/>
  <c r="P1697"/>
  <c r="P1696"/>
  <c r="P1695"/>
  <c r="P1694"/>
  <c r="P1693"/>
  <c r="O1693" s="1"/>
  <c r="P1692"/>
  <c r="P1691"/>
  <c r="P1690"/>
  <c r="P1689"/>
  <c r="P1688"/>
  <c r="P1687"/>
  <c r="P1686"/>
  <c r="P1685"/>
  <c r="P1684"/>
  <c r="P1683"/>
  <c r="P1682"/>
  <c r="P1681"/>
  <c r="P1680"/>
  <c r="P1679"/>
  <c r="O1679" s="1"/>
  <c r="P1678"/>
  <c r="O1678" s="1"/>
  <c r="P1677"/>
  <c r="O1677" s="1"/>
  <c r="P1676"/>
  <c r="O1676" s="1"/>
  <c r="P1675"/>
  <c r="O1675" s="1"/>
  <c r="P1674"/>
  <c r="O1674" s="1"/>
  <c r="P1673"/>
  <c r="O1673" s="1"/>
  <c r="P1672"/>
  <c r="O1672" s="1"/>
  <c r="P1671"/>
  <c r="O1671" s="1"/>
  <c r="P1670"/>
  <c r="O1670" s="1"/>
  <c r="P1669"/>
  <c r="O1669" s="1"/>
  <c r="P1668"/>
  <c r="O1668" s="1"/>
  <c r="P1667"/>
  <c r="O1667" s="1"/>
  <c r="P1666"/>
  <c r="O1666" s="1"/>
  <c r="P1665"/>
  <c r="P1664"/>
  <c r="P1663"/>
  <c r="P1662"/>
  <c r="P1661"/>
  <c r="P1660"/>
  <c r="P1659"/>
  <c r="P1658"/>
  <c r="P1657"/>
  <c r="P1656"/>
  <c r="P1655"/>
  <c r="P1654"/>
  <c r="P1653"/>
  <c r="P1652"/>
  <c r="O1636"/>
  <c r="O1635"/>
  <c r="O1634"/>
  <c r="O1633"/>
  <c r="P1632"/>
  <c r="O1631"/>
  <c r="O1630"/>
  <c r="O1629"/>
  <c r="O1628"/>
  <c r="P1627"/>
  <c r="P1626"/>
  <c r="P1625"/>
  <c r="P1624"/>
  <c r="P1623"/>
  <c r="P1622"/>
  <c r="P1621"/>
  <c r="P1620"/>
  <c r="P1590"/>
  <c r="O1590" s="1"/>
  <c r="P1589"/>
  <c r="O1589" s="1"/>
  <c r="P1588"/>
  <c r="O1588" s="1"/>
  <c r="P1587"/>
  <c r="O1587" s="1"/>
  <c r="P1586"/>
  <c r="P1585"/>
  <c r="O1585" s="1"/>
  <c r="P1583"/>
  <c r="P1581"/>
  <c r="O1581" s="1"/>
  <c r="O1580"/>
  <c r="P1578"/>
  <c r="P1560"/>
  <c r="P1559"/>
  <c r="P1558"/>
  <c r="P1556"/>
  <c r="P1555"/>
  <c r="P1554"/>
  <c r="P1553"/>
  <c r="P1552"/>
  <c r="P1551"/>
  <c r="P1550"/>
  <c r="P1549"/>
  <c r="O1548"/>
  <c r="P1547"/>
  <c r="P1546"/>
  <c r="O1546" s="1"/>
  <c r="O1545"/>
  <c r="P1544"/>
  <c r="O1544" s="1"/>
  <c r="O1543"/>
  <c r="P1542"/>
  <c r="O1542" s="1"/>
  <c r="P1541"/>
  <c r="O1541" s="1"/>
  <c r="P1540"/>
  <c r="O1540" s="1"/>
  <c r="P1539"/>
  <c r="O1539" s="1"/>
  <c r="P1538"/>
  <c r="O1538" s="1"/>
  <c r="P1537"/>
  <c r="O1537" s="1"/>
  <c r="P1536"/>
  <c r="O1536" s="1"/>
  <c r="P1535"/>
  <c r="O1535" s="1"/>
  <c r="P1534"/>
  <c r="O1534" s="1"/>
  <c r="P1533"/>
  <c r="O1533" s="1"/>
  <c r="P1532"/>
  <c r="P1531"/>
  <c r="P1530"/>
  <c r="P1529"/>
  <c r="P1528"/>
  <c r="P1527"/>
  <c r="P1526"/>
  <c r="P1525"/>
  <c r="P1524"/>
  <c r="P1523"/>
  <c r="P1522"/>
  <c r="P1521"/>
  <c r="P1520"/>
  <c r="P1519"/>
  <c r="P1518"/>
  <c r="P1517"/>
  <c r="P1516"/>
  <c r="P1513"/>
  <c r="P1510"/>
  <c r="P1506"/>
  <c r="P1505"/>
  <c r="P1500"/>
  <c r="P1499"/>
  <c r="P1498"/>
  <c r="P1497"/>
  <c r="P1496"/>
  <c r="P1495"/>
  <c r="P1494"/>
  <c r="P1493"/>
  <c r="P1492"/>
  <c r="P1491"/>
  <c r="P1490"/>
  <c r="P1489"/>
  <c r="P1488"/>
  <c r="P1487"/>
  <c r="P1486"/>
  <c r="P1485"/>
  <c r="P1484"/>
  <c r="P1483"/>
  <c r="O1483" s="1"/>
  <c r="P1482"/>
  <c r="O1482" s="1"/>
  <c r="P1481"/>
  <c r="O1481" s="1"/>
  <c r="P1480"/>
  <c r="O1480" s="1"/>
  <c r="P1479"/>
  <c r="O1479" s="1"/>
  <c r="P1478"/>
  <c r="O1478" s="1"/>
  <c r="P1477"/>
  <c r="O1477" s="1"/>
  <c r="P1476"/>
  <c r="O1476" s="1"/>
  <c r="P1475"/>
  <c r="O1475" s="1"/>
  <c r="P1474"/>
  <c r="O1474" s="1"/>
  <c r="P1473"/>
  <c r="O1473" s="1"/>
  <c r="P1472"/>
  <c r="O1472" s="1"/>
  <c r="P1471"/>
  <c r="O1471" s="1"/>
  <c r="P1470"/>
  <c r="O1470" s="1"/>
  <c r="P1469"/>
  <c r="O1469" s="1"/>
  <c r="P1468"/>
  <c r="O1468" s="1"/>
  <c r="P1466"/>
  <c r="P1463"/>
  <c r="P1462"/>
  <c r="P1461"/>
  <c r="P1460"/>
  <c r="P1459"/>
  <c r="P1458"/>
  <c r="P1457"/>
  <c r="O1457" s="1"/>
  <c r="P1456"/>
  <c r="P1455"/>
  <c r="P1454"/>
  <c r="P1453"/>
  <c r="O1453" s="1"/>
  <c r="P1452"/>
  <c r="O1451"/>
  <c r="P1450"/>
  <c r="P1449"/>
  <c r="P1448"/>
  <c r="P1447"/>
  <c r="P1446"/>
  <c r="P1445"/>
  <c r="P1444"/>
  <c r="P1443"/>
  <c r="P1442"/>
  <c r="P1441"/>
  <c r="P1440"/>
  <c r="P1439"/>
  <c r="P1438"/>
  <c r="P1437"/>
  <c r="P1436"/>
  <c r="O1436" s="1"/>
  <c r="P1435"/>
  <c r="P1434"/>
  <c r="P1433"/>
  <c r="P1432"/>
  <c r="P1431"/>
  <c r="P1430"/>
  <c r="P1429"/>
  <c r="P1428"/>
  <c r="P1427"/>
  <c r="P1426"/>
  <c r="P1425"/>
  <c r="P1424"/>
  <c r="P1423"/>
  <c r="P1422"/>
  <c r="P1421"/>
  <c r="P1420"/>
  <c r="P1419"/>
  <c r="P1418"/>
  <c r="P1417"/>
  <c r="P1416"/>
  <c r="P1415"/>
  <c r="P1414"/>
  <c r="P1413"/>
  <c r="P1412"/>
  <c r="P1411"/>
  <c r="P1410"/>
  <c r="P1409"/>
  <c r="P1408"/>
  <c r="O1407"/>
  <c r="P1406"/>
  <c r="P1405"/>
  <c r="P1404"/>
  <c r="P1403"/>
  <c r="P1402"/>
  <c r="P1400"/>
  <c r="P1399"/>
  <c r="P1398"/>
  <c r="P1397"/>
  <c r="P1396"/>
  <c r="P1395"/>
  <c r="P1394"/>
  <c r="P1393"/>
  <c r="P1392"/>
  <c r="P1391"/>
  <c r="P1390"/>
  <c r="P1389"/>
  <c r="P1388"/>
  <c r="P1387"/>
  <c r="P1386"/>
  <c r="P1385"/>
  <c r="P1384"/>
  <c r="P1383"/>
  <c r="P1382"/>
  <c r="P1381"/>
  <c r="P1380"/>
  <c r="P1379"/>
  <c r="P1378"/>
  <c r="P1377"/>
  <c r="P1376"/>
  <c r="P1375"/>
  <c r="P1374"/>
  <c r="P1373"/>
  <c r="P1372"/>
  <c r="P1371"/>
  <c r="P1370"/>
  <c r="P1369"/>
  <c r="P1368"/>
  <c r="P1367"/>
  <c r="P1366"/>
  <c r="P1365"/>
  <c r="O1365" s="1"/>
  <c r="P1364"/>
  <c r="P1362"/>
  <c r="P1361"/>
  <c r="P1360"/>
  <c r="O1360" s="1"/>
  <c r="P1358"/>
  <c r="O1358" s="1"/>
  <c r="P1357"/>
  <c r="P1356"/>
  <c r="P1354"/>
  <c r="O1354" s="1"/>
  <c r="P1352"/>
  <c r="P1350"/>
  <c r="P1349"/>
  <c r="P1348"/>
  <c r="O1348" s="1"/>
  <c r="P1347"/>
  <c r="P1346"/>
  <c r="P1345"/>
  <c r="P1344"/>
  <c r="P1343"/>
  <c r="P1342"/>
  <c r="P1341"/>
  <c r="P1340"/>
  <c r="P1339"/>
  <c r="P1338"/>
  <c r="P1337"/>
  <c r="P1336"/>
  <c r="P1335"/>
  <c r="P1333"/>
  <c r="P1332"/>
  <c r="P1331"/>
  <c r="P1330"/>
  <c r="P1329"/>
  <c r="P1328"/>
  <c r="P1327"/>
  <c r="P1326"/>
  <c r="P1325"/>
  <c r="P1324"/>
  <c r="P1323"/>
  <c r="P1322"/>
  <c r="P1321"/>
  <c r="P1320"/>
  <c r="P1319"/>
  <c r="P1318"/>
  <c r="P1317"/>
  <c r="P1316"/>
  <c r="P1315"/>
  <c r="P1314"/>
  <c r="P1313"/>
  <c r="P1312"/>
  <c r="P1311"/>
  <c r="P1310"/>
  <c r="P1309"/>
  <c r="P1308"/>
  <c r="P1307"/>
  <c r="P1306"/>
  <c r="P1305"/>
  <c r="P1304"/>
  <c r="P1303"/>
  <c r="P1302"/>
  <c r="P1301"/>
  <c r="P1300"/>
  <c r="P1299"/>
  <c r="P1298"/>
  <c r="P1297"/>
  <c r="P1296"/>
  <c r="P1295"/>
  <c r="P1294"/>
  <c r="P1293"/>
  <c r="P1292"/>
  <c r="P1291"/>
  <c r="P1290"/>
  <c r="P1289"/>
  <c r="P1288"/>
  <c r="P1287"/>
  <c r="P1286"/>
  <c r="P1285"/>
  <c r="P1284"/>
  <c r="P1283"/>
  <c r="P1282"/>
  <c r="P1281"/>
  <c r="P1280"/>
  <c r="P1279"/>
  <c r="P1278"/>
  <c r="P1277"/>
  <c r="P1276"/>
  <c r="P1275"/>
  <c r="P1274"/>
  <c r="P1273"/>
  <c r="P1272"/>
  <c r="P1271"/>
  <c r="P1270"/>
  <c r="P1269"/>
  <c r="P1268"/>
  <c r="P1267"/>
  <c r="P1266"/>
  <c r="P1265"/>
  <c r="P1264"/>
  <c r="P1263"/>
  <c r="P1262"/>
  <c r="P1261"/>
  <c r="P1260"/>
  <c r="P1259"/>
  <c r="P1258"/>
  <c r="P1257"/>
  <c r="P1256"/>
  <c r="P1255"/>
  <c r="P1254"/>
  <c r="O1254" s="1"/>
  <c r="P1253"/>
  <c r="P1252"/>
  <c r="P1251"/>
  <c r="P1250"/>
  <c r="P1249"/>
  <c r="P1248"/>
  <c r="O1248" s="1"/>
  <c r="P1247"/>
  <c r="P1246"/>
  <c r="P1245"/>
  <c r="P1244"/>
  <c r="P1243"/>
  <c r="P1242"/>
  <c r="P1241"/>
  <c r="O1241" s="1"/>
  <c r="P1240"/>
  <c r="O1240" s="1"/>
  <c r="P1239"/>
  <c r="O1239" s="1"/>
  <c r="P1238"/>
  <c r="O1238" s="1"/>
  <c r="P1237"/>
  <c r="P1236"/>
  <c r="P1235"/>
  <c r="P1234"/>
  <c r="P1233"/>
  <c r="P1232"/>
  <c r="P1231"/>
  <c r="P1230"/>
  <c r="P1229"/>
  <c r="P1228"/>
  <c r="P1227"/>
  <c r="P1225"/>
  <c r="P1224"/>
  <c r="P1223"/>
  <c r="P1222"/>
  <c r="P1221"/>
  <c r="O1221" s="1"/>
  <c r="P1220"/>
  <c r="P1219"/>
  <c r="P1217"/>
  <c r="P1216"/>
  <c r="P1215"/>
  <c r="P1214"/>
  <c r="P1213"/>
  <c r="P1212"/>
  <c r="P1211"/>
  <c r="P1209"/>
  <c r="P1208"/>
  <c r="P1207"/>
  <c r="P1206"/>
  <c r="P1205"/>
  <c r="P1204"/>
  <c r="P1203"/>
  <c r="P1202"/>
  <c r="P1201"/>
  <c r="P1200"/>
  <c r="P1199"/>
  <c r="P1197"/>
  <c r="P1196"/>
  <c r="P1195"/>
  <c r="O1195" s="1"/>
  <c r="P1193"/>
  <c r="P1191"/>
  <c r="P1190"/>
  <c r="P1189"/>
  <c r="O1189" s="1"/>
  <c r="P1188"/>
  <c r="P1187"/>
  <c r="P1186"/>
  <c r="P1185"/>
  <c r="P1184"/>
  <c r="P1183"/>
  <c r="P1182"/>
  <c r="P1181"/>
  <c r="P1180"/>
  <c r="P1179"/>
  <c r="P1178"/>
  <c r="P1177"/>
  <c r="P1176"/>
  <c r="P1175"/>
  <c r="P1174"/>
  <c r="P1173"/>
  <c r="P1172"/>
  <c r="P1171"/>
  <c r="P1170"/>
  <c r="P1169"/>
  <c r="P1168"/>
  <c r="P1167"/>
  <c r="P1165"/>
  <c r="P1164"/>
  <c r="P1162"/>
  <c r="P1161"/>
  <c r="P1160"/>
  <c r="P1159"/>
  <c r="P1158"/>
  <c r="P1157"/>
  <c r="O1156"/>
  <c r="P1155"/>
  <c r="P1154"/>
  <c r="P1153"/>
  <c r="O1152"/>
  <c r="P1151"/>
  <c r="P1150"/>
  <c r="P1147"/>
  <c r="P1146"/>
  <c r="P1145"/>
  <c r="P1144"/>
  <c r="O1144" s="1"/>
  <c r="P1143"/>
  <c r="O1142"/>
  <c r="P1141"/>
  <c r="P1140"/>
  <c r="O1140" s="1"/>
  <c r="O1139"/>
  <c r="P1138"/>
  <c r="P1137"/>
  <c r="P1136"/>
  <c r="P1135"/>
  <c r="P1134"/>
  <c r="P1133"/>
  <c r="P1132"/>
  <c r="P1131"/>
  <c r="P1130"/>
  <c r="P1129"/>
  <c r="P1128"/>
  <c r="P1127"/>
  <c r="P1126"/>
  <c r="P1125"/>
  <c r="P1124"/>
  <c r="P1123"/>
  <c r="P1122"/>
  <c r="P1121"/>
  <c r="P1120"/>
  <c r="P1119"/>
  <c r="P1118"/>
  <c r="P1117"/>
  <c r="P1116"/>
  <c r="P1115"/>
  <c r="P1114"/>
  <c r="P1113"/>
  <c r="P1112"/>
  <c r="P1111"/>
  <c r="P1110"/>
  <c r="P1109"/>
  <c r="P1108"/>
  <c r="P1107"/>
  <c r="P1106"/>
  <c r="P1105"/>
  <c r="P1104"/>
  <c r="P1103"/>
  <c r="P1102"/>
  <c r="P1101"/>
  <c r="P1100"/>
  <c r="P1099"/>
  <c r="P1098"/>
  <c r="P1097"/>
  <c r="P1096"/>
  <c r="P1095"/>
  <c r="P1094"/>
  <c r="P1093"/>
  <c r="P1092"/>
  <c r="P1091"/>
  <c r="P1090"/>
  <c r="P1089"/>
  <c r="P1088"/>
  <c r="P1087"/>
  <c r="O1087" s="1"/>
  <c r="P1086"/>
  <c r="P1084"/>
  <c r="P1083"/>
  <c r="P1082"/>
  <c r="O1082" s="1"/>
  <c r="P1081"/>
  <c r="P1080"/>
  <c r="P1079"/>
  <c r="P1078"/>
  <c r="P1077"/>
  <c r="P1076"/>
  <c r="O1076" s="1"/>
  <c r="P1075"/>
  <c r="P1074"/>
  <c r="P1073"/>
  <c r="P1072"/>
  <c r="P1071"/>
  <c r="P1070"/>
  <c r="P1069"/>
  <c r="P1068"/>
  <c r="P1067"/>
  <c r="O1067" s="1"/>
  <c r="P1066"/>
  <c r="P1065"/>
  <c r="P1064"/>
  <c r="P1063"/>
  <c r="P1062"/>
  <c r="P1061"/>
  <c r="P1060"/>
  <c r="O1060" s="1"/>
  <c r="P1059"/>
  <c r="P1058"/>
  <c r="P1057"/>
  <c r="P1056"/>
  <c r="P1055"/>
  <c r="O1054"/>
  <c r="O1053"/>
  <c r="P1052"/>
  <c r="O1051"/>
  <c r="P1050"/>
  <c r="P1049"/>
  <c r="O1049" s="1"/>
  <c r="P1048"/>
  <c r="P1047"/>
  <c r="P1046"/>
  <c r="P1045"/>
  <c r="P1044"/>
  <c r="P1043"/>
  <c r="P1042"/>
  <c r="O1042" s="1"/>
  <c r="P1040"/>
  <c r="P1039"/>
  <c r="P1038"/>
  <c r="P1037"/>
  <c r="P1036"/>
  <c r="P1035"/>
  <c r="P1034"/>
  <c r="P1033"/>
  <c r="P1032"/>
  <c r="P1031"/>
  <c r="P1030"/>
  <c r="P1029"/>
  <c r="P1028"/>
  <c r="P1027"/>
  <c r="P1026"/>
  <c r="P1025"/>
  <c r="P1024"/>
  <c r="P1023"/>
  <c r="P1022"/>
  <c r="P1021"/>
  <c r="P1020"/>
  <c r="P1019"/>
  <c r="P1018"/>
  <c r="P1017"/>
  <c r="P1016"/>
  <c r="P1015"/>
  <c r="P1014"/>
  <c r="P1013"/>
  <c r="P1012"/>
  <c r="P1011"/>
  <c r="P1010"/>
  <c r="O1010" s="1"/>
  <c r="P1009"/>
  <c r="P1008"/>
  <c r="P1007"/>
  <c r="P1006"/>
  <c r="P1005"/>
  <c r="P1004"/>
  <c r="P1003"/>
  <c r="P1002"/>
  <c r="O1002" s="1"/>
  <c r="P1001"/>
  <c r="P1000"/>
  <c r="P999"/>
  <c r="P998"/>
  <c r="P997"/>
  <c r="P996"/>
  <c r="P995"/>
  <c r="P994"/>
  <c r="P993"/>
  <c r="P992"/>
  <c r="P991"/>
  <c r="P990"/>
  <c r="P989"/>
  <c r="P988"/>
  <c r="P987"/>
  <c r="P986"/>
  <c r="P985"/>
  <c r="P984"/>
  <c r="P983"/>
  <c r="O983" s="1"/>
  <c r="P982"/>
  <c r="P981"/>
  <c r="P980"/>
  <c r="P979"/>
  <c r="P978"/>
  <c r="P977"/>
  <c r="P976"/>
  <c r="P975"/>
  <c r="P974"/>
  <c r="O974" s="1"/>
  <c r="P973"/>
  <c r="P972"/>
  <c r="P971"/>
  <c r="P970"/>
  <c r="P969"/>
  <c r="P968"/>
  <c r="P967"/>
  <c r="P966"/>
  <c r="P965"/>
  <c r="O965" s="1"/>
  <c r="P964"/>
  <c r="P963"/>
  <c r="P962"/>
  <c r="P961"/>
  <c r="P960"/>
  <c r="P959"/>
  <c r="P957"/>
  <c r="P956"/>
  <c r="P955"/>
  <c r="P954"/>
  <c r="P953"/>
  <c r="P952"/>
  <c r="P951"/>
  <c r="O951" s="1"/>
  <c r="P950"/>
  <c r="P949"/>
  <c r="P948"/>
  <c r="P947"/>
  <c r="P946"/>
  <c r="P945"/>
  <c r="P944"/>
  <c r="P943"/>
  <c r="O943" s="1"/>
  <c r="P942"/>
  <c r="P941"/>
  <c r="P940"/>
  <c r="P939"/>
  <c r="P938"/>
  <c r="P937"/>
  <c r="P936"/>
  <c r="P935"/>
  <c r="P934"/>
  <c r="P933"/>
  <c r="P932"/>
  <c r="P931"/>
  <c r="P930"/>
  <c r="P929"/>
  <c r="P928"/>
  <c r="P927"/>
  <c r="P926"/>
  <c r="P925"/>
  <c r="P924"/>
  <c r="P923"/>
  <c r="P922"/>
  <c r="P921"/>
  <c r="P920"/>
  <c r="P919"/>
  <c r="P918"/>
  <c r="P917"/>
  <c r="P916"/>
  <c r="P915"/>
  <c r="P914"/>
  <c r="P913"/>
  <c r="P911"/>
  <c r="P910"/>
  <c r="P909"/>
  <c r="P908"/>
  <c r="P907"/>
  <c r="P906"/>
  <c r="P905"/>
  <c r="P904"/>
  <c r="P902"/>
  <c r="P901"/>
  <c r="P900"/>
  <c r="P898"/>
  <c r="P897"/>
  <c r="P896"/>
  <c r="P895"/>
  <c r="P894"/>
  <c r="P893"/>
  <c r="P891"/>
  <c r="P889"/>
  <c r="P888"/>
  <c r="O888" s="1"/>
  <c r="P887"/>
  <c r="P886"/>
  <c r="P885"/>
  <c r="P884"/>
  <c r="P883"/>
  <c r="P882"/>
  <c r="P881"/>
  <c r="P880"/>
  <c r="O879"/>
  <c r="O878"/>
  <c r="P877"/>
  <c r="P876"/>
  <c r="P875"/>
  <c r="P874"/>
  <c r="P873"/>
  <c r="P872"/>
  <c r="P871"/>
  <c r="P870"/>
  <c r="P869"/>
  <c r="P868"/>
  <c r="P867"/>
  <c r="P866"/>
  <c r="P865"/>
  <c r="P864"/>
  <c r="P863"/>
  <c r="P862"/>
  <c r="P861"/>
  <c r="P860"/>
  <c r="P859"/>
  <c r="P858"/>
  <c r="P857"/>
  <c r="P856"/>
  <c r="P855"/>
  <c r="P854"/>
  <c r="P853"/>
  <c r="P851"/>
  <c r="P850"/>
  <c r="P849"/>
  <c r="P848"/>
  <c r="P847"/>
  <c r="P846"/>
  <c r="P845"/>
  <c r="P844"/>
  <c r="P843"/>
  <c r="P842"/>
  <c r="P841"/>
  <c r="P840"/>
  <c r="P839"/>
  <c r="P837"/>
  <c r="P836"/>
  <c r="P835"/>
  <c r="P834"/>
  <c r="P833"/>
  <c r="O833" s="1"/>
  <c r="P832"/>
  <c r="P831"/>
  <c r="P829"/>
  <c r="P827"/>
  <c r="P826"/>
  <c r="P825"/>
  <c r="P824"/>
  <c r="P823"/>
  <c r="P822"/>
  <c r="P821"/>
  <c r="P820"/>
  <c r="P819"/>
  <c r="P818"/>
  <c r="P817"/>
  <c r="P816"/>
  <c r="P814"/>
  <c r="P813"/>
  <c r="P812"/>
  <c r="P811"/>
  <c r="P810"/>
  <c r="P809"/>
  <c r="P808"/>
  <c r="P807"/>
  <c r="P806"/>
  <c r="P805"/>
  <c r="P804"/>
  <c r="P803"/>
  <c r="P802"/>
  <c r="P801"/>
  <c r="P800"/>
  <c r="P798"/>
  <c r="P797"/>
  <c r="P796"/>
  <c r="P795"/>
  <c r="P794"/>
  <c r="P793"/>
  <c r="P792"/>
  <c r="P791"/>
  <c r="P790"/>
  <c r="P789"/>
  <c r="P788"/>
  <c r="P787"/>
  <c r="P786"/>
  <c r="P785"/>
  <c r="P784"/>
  <c r="P783"/>
  <c r="P782"/>
  <c r="P781"/>
  <c r="P780"/>
  <c r="P779"/>
  <c r="P778"/>
  <c r="P777"/>
  <c r="P776"/>
  <c r="P775"/>
  <c r="P774"/>
  <c r="P773"/>
  <c r="P772"/>
  <c r="P771"/>
  <c r="P770"/>
  <c r="P769"/>
  <c r="P768"/>
  <c r="P767"/>
  <c r="P766"/>
  <c r="P765"/>
  <c r="P764"/>
  <c r="P763"/>
  <c r="P762"/>
  <c r="P761"/>
  <c r="P760"/>
  <c r="P759"/>
  <c r="P758"/>
  <c r="P757"/>
  <c r="P756"/>
  <c r="P755"/>
  <c r="P754"/>
  <c r="P753"/>
  <c r="P752"/>
  <c r="P751"/>
  <c r="P750"/>
  <c r="P749"/>
  <c r="P748"/>
  <c r="P747"/>
  <c r="P746"/>
  <c r="P745"/>
  <c r="P744"/>
  <c r="P743"/>
  <c r="P742"/>
  <c r="P741"/>
  <c r="P740"/>
  <c r="P739"/>
  <c r="P738"/>
  <c r="P737"/>
  <c r="P736"/>
  <c r="P735"/>
  <c r="P734"/>
  <c r="P733"/>
  <c r="P732"/>
  <c r="P731"/>
  <c r="P730"/>
  <c r="P729"/>
  <c r="P728"/>
  <c r="P727"/>
  <c r="P726"/>
  <c r="P725"/>
  <c r="P724"/>
  <c r="P723"/>
  <c r="P722"/>
  <c r="P721"/>
  <c r="P720"/>
  <c r="P719"/>
  <c r="P718"/>
  <c r="P717"/>
  <c r="P716"/>
  <c r="P715"/>
  <c r="P714"/>
  <c r="P713"/>
  <c r="P712"/>
  <c r="P711"/>
  <c r="P710"/>
  <c r="P709"/>
  <c r="P708"/>
  <c r="P707"/>
  <c r="P706"/>
  <c r="P705"/>
  <c r="P704"/>
  <c r="P703"/>
  <c r="P702"/>
  <c r="P701"/>
  <c r="P700"/>
  <c r="P699"/>
  <c r="P698"/>
  <c r="P697"/>
  <c r="P696"/>
  <c r="P695"/>
  <c r="P694"/>
  <c r="P693"/>
  <c r="P692"/>
  <c r="P691"/>
  <c r="P690"/>
  <c r="P689"/>
  <c r="P688"/>
  <c r="P687"/>
  <c r="P686"/>
  <c r="P685"/>
  <c r="P684"/>
  <c r="P683"/>
  <c r="P682"/>
  <c r="P681"/>
  <c r="P680"/>
  <c r="P679"/>
  <c r="P678"/>
  <c r="P677"/>
  <c r="P676"/>
  <c r="P675"/>
  <c r="P674"/>
  <c r="P673"/>
  <c r="P672"/>
  <c r="P671"/>
  <c r="P670"/>
  <c r="P669"/>
  <c r="P668"/>
  <c r="P667"/>
  <c r="P666"/>
  <c r="P665"/>
  <c r="P664"/>
  <c r="P663"/>
  <c r="P662"/>
  <c r="P661"/>
  <c r="P660"/>
  <c r="P659"/>
  <c r="P658"/>
  <c r="P657"/>
  <c r="P656"/>
  <c r="P655"/>
  <c r="P654"/>
  <c r="P653"/>
  <c r="P652"/>
  <c r="P651"/>
  <c r="P650"/>
  <c r="P649"/>
  <c r="P648"/>
  <c r="P647"/>
  <c r="P646"/>
  <c r="P645"/>
  <c r="P644"/>
  <c r="P643"/>
  <c r="P642"/>
  <c r="P641"/>
  <c r="P640"/>
  <c r="P639"/>
  <c r="P638"/>
  <c r="P637"/>
  <c r="P636"/>
  <c r="P635"/>
  <c r="P634"/>
  <c r="P633"/>
  <c r="P632"/>
  <c r="P631"/>
  <c r="P630"/>
  <c r="P629"/>
  <c r="P628"/>
  <c r="P627"/>
  <c r="P626"/>
  <c r="P625"/>
  <c r="P624"/>
  <c r="P623"/>
  <c r="P622"/>
  <c r="P621"/>
  <c r="P620"/>
  <c r="P619"/>
  <c r="P618"/>
  <c r="P617"/>
  <c r="P616"/>
  <c r="P615"/>
  <c r="P614"/>
  <c r="P613"/>
  <c r="P612"/>
  <c r="P611"/>
  <c r="P610"/>
  <c r="P609"/>
  <c r="P608"/>
  <c r="P607"/>
  <c r="P606"/>
  <c r="P605"/>
  <c r="P604"/>
  <c r="P603"/>
  <c r="P602"/>
  <c r="P601"/>
  <c r="P600"/>
  <c r="P599"/>
  <c r="P598"/>
  <c r="P597"/>
  <c r="P596"/>
  <c r="P595"/>
  <c r="P594"/>
  <c r="P593"/>
  <c r="P592"/>
  <c r="P591"/>
  <c r="P590"/>
  <c r="P589"/>
  <c r="P588"/>
  <c r="P587"/>
  <c r="P586"/>
  <c r="P585"/>
  <c r="P584"/>
  <c r="P583"/>
  <c r="P582"/>
  <c r="P581"/>
  <c r="P580"/>
  <c r="P579"/>
  <c r="P578"/>
  <c r="P577"/>
  <c r="P576"/>
  <c r="P575"/>
  <c r="P574"/>
  <c r="P573"/>
  <c r="P572"/>
  <c r="P571"/>
  <c r="P570"/>
  <c r="P569"/>
  <c r="P568"/>
  <c r="P567"/>
  <c r="P566"/>
  <c r="P565"/>
  <c r="P564"/>
  <c r="P563"/>
  <c r="P562"/>
  <c r="P561"/>
  <c r="P560"/>
  <c r="P559"/>
  <c r="P558"/>
  <c r="P557"/>
  <c r="P556"/>
  <c r="P555"/>
  <c r="P554"/>
  <c r="P553"/>
  <c r="P552"/>
  <c r="P551"/>
  <c r="P550"/>
  <c r="P549"/>
  <c r="P548"/>
  <c r="P547"/>
  <c r="P546"/>
  <c r="P545"/>
  <c r="P544"/>
  <c r="P543"/>
  <c r="P542"/>
  <c r="P541"/>
  <c r="P540"/>
  <c r="P539"/>
  <c r="P538"/>
  <c r="P537"/>
  <c r="P536"/>
  <c r="P535"/>
  <c r="P534"/>
  <c r="P533"/>
  <c r="P532"/>
  <c r="P531"/>
  <c r="P530"/>
  <c r="P529"/>
  <c r="P528"/>
  <c r="P527"/>
  <c r="P526"/>
  <c r="P525"/>
  <c r="P524"/>
  <c r="P523"/>
  <c r="P522"/>
  <c r="P521"/>
  <c r="P520"/>
  <c r="P519"/>
  <c r="P518"/>
  <c r="P517"/>
  <c r="P516"/>
  <c r="P515"/>
  <c r="P514"/>
  <c r="P513"/>
  <c r="P512"/>
  <c r="P511"/>
  <c r="P510"/>
  <c r="P509"/>
  <c r="P508"/>
  <c r="P507"/>
  <c r="P506"/>
  <c r="P505"/>
  <c r="P504"/>
  <c r="P503"/>
  <c r="P502"/>
  <c r="P501"/>
  <c r="P500"/>
  <c r="P499"/>
  <c r="P498"/>
  <c r="P497"/>
  <c r="P496"/>
  <c r="P495"/>
  <c r="P494"/>
  <c r="P493"/>
  <c r="P492"/>
  <c r="P491"/>
  <c r="P490"/>
  <c r="P489"/>
  <c r="P488"/>
  <c r="P487"/>
  <c r="P486"/>
  <c r="P485"/>
  <c r="P484"/>
  <c r="P483"/>
  <c r="P482"/>
  <c r="P481"/>
  <c r="P480"/>
  <c r="P479"/>
  <c r="P478"/>
  <c r="P477"/>
  <c r="P476"/>
  <c r="P475"/>
  <c r="P474"/>
  <c r="P473"/>
  <c r="P472"/>
  <c r="P471"/>
  <c r="P470"/>
  <c r="P469"/>
  <c r="P468"/>
  <c r="P467"/>
  <c r="P466"/>
  <c r="P465"/>
  <c r="P464"/>
  <c r="P463"/>
  <c r="P462"/>
  <c r="P461"/>
  <c r="P460"/>
  <c r="P459"/>
  <c r="P458"/>
  <c r="P457"/>
  <c r="P456"/>
  <c r="P455"/>
  <c r="P454"/>
  <c r="P453"/>
  <c r="P452"/>
  <c r="P451"/>
  <c r="P450"/>
  <c r="P449"/>
  <c r="P448"/>
  <c r="P447"/>
  <c r="P446"/>
  <c r="P445"/>
  <c r="P444"/>
  <c r="P443"/>
  <c r="P442"/>
  <c r="P441"/>
  <c r="P440"/>
  <c r="P439"/>
  <c r="P438"/>
  <c r="P437"/>
  <c r="P436"/>
  <c r="P435"/>
  <c r="P434"/>
  <c r="P433"/>
  <c r="P432"/>
  <c r="P431"/>
  <c r="P430"/>
  <c r="P429"/>
  <c r="P428"/>
  <c r="P427"/>
  <c r="P426"/>
  <c r="P425"/>
  <c r="P424"/>
  <c r="P423"/>
  <c r="P422"/>
  <c r="P421"/>
  <c r="P420"/>
  <c r="P419"/>
  <c r="P418"/>
  <c r="P417"/>
  <c r="P416"/>
  <c r="P415"/>
  <c r="P414"/>
  <c r="P413"/>
  <c r="P412"/>
  <c r="P411"/>
  <c r="P410"/>
  <c r="P409"/>
  <c r="P408"/>
  <c r="P407"/>
  <c r="P406"/>
  <c r="P405"/>
  <c r="P404"/>
  <c r="P403"/>
  <c r="P402"/>
  <c r="P401"/>
  <c r="P400"/>
  <c r="P398"/>
  <c r="O398" s="1"/>
  <c r="P396"/>
  <c r="O396" s="1"/>
  <c r="P395"/>
  <c r="O395" s="1"/>
  <c r="O394"/>
  <c r="P375"/>
  <c r="P374"/>
  <c r="P373"/>
  <c r="P372"/>
  <c r="P371"/>
  <c r="P370"/>
  <c r="P369"/>
  <c r="P368"/>
  <c r="P367"/>
  <c r="P366"/>
  <c r="P365"/>
  <c r="P364"/>
  <c r="P363"/>
  <c r="P362"/>
  <c r="P361"/>
  <c r="P360"/>
  <c r="P359"/>
  <c r="P358"/>
  <c r="P357"/>
  <c r="P356"/>
  <c r="P355"/>
  <c r="P354"/>
  <c r="P353"/>
  <c r="P352"/>
  <c r="P351"/>
  <c r="P350"/>
  <c r="P349"/>
  <c r="P348"/>
  <c r="P347"/>
  <c r="P346"/>
  <c r="P345"/>
  <c r="P344"/>
  <c r="P343"/>
  <c r="P342"/>
  <c r="P341"/>
  <c r="P340"/>
  <c r="P339"/>
  <c r="P338"/>
  <c r="P337"/>
  <c r="P336"/>
  <c r="P335"/>
  <c r="P334"/>
  <c r="P333"/>
  <c r="P332"/>
  <c r="P331"/>
  <c r="P330"/>
  <c r="P329"/>
  <c r="P328"/>
  <c r="P327"/>
  <c r="P326"/>
  <c r="P325"/>
  <c r="P324"/>
  <c r="P323"/>
  <c r="P322"/>
  <c r="P321"/>
  <c r="P320"/>
  <c r="P319"/>
  <c r="P318"/>
  <c r="P317"/>
  <c r="P316"/>
  <c r="P315"/>
  <c r="P314"/>
  <c r="P313"/>
  <c r="P312"/>
  <c r="P311"/>
  <c r="P310"/>
  <c r="P309"/>
  <c r="P308"/>
  <c r="P307"/>
  <c r="P306"/>
  <c r="P305"/>
  <c r="P304"/>
  <c r="P303"/>
  <c r="P302"/>
  <c r="P301"/>
  <c r="P300"/>
  <c r="P299"/>
  <c r="P298"/>
  <c r="P297"/>
  <c r="P296"/>
  <c r="P295"/>
  <c r="P294"/>
  <c r="P293"/>
  <c r="P292"/>
  <c r="P291"/>
  <c r="P290"/>
  <c r="P289"/>
  <c r="P288"/>
  <c r="P287"/>
  <c r="P286"/>
  <c r="P285"/>
  <c r="P284"/>
  <c r="P283"/>
  <c r="P282"/>
  <c r="P281"/>
  <c r="P280"/>
  <c r="P279"/>
  <c r="P278"/>
  <c r="P277"/>
  <c r="P276"/>
  <c r="P275"/>
  <c r="P274"/>
  <c r="P273"/>
  <c r="P272"/>
  <c r="P271"/>
  <c r="P270"/>
  <c r="P269"/>
  <c r="P268"/>
  <c r="P267"/>
  <c r="P266"/>
  <c r="P265"/>
  <c r="P264"/>
  <c r="P263"/>
  <c r="P262"/>
  <c r="P261"/>
  <c r="P260"/>
  <c r="P259"/>
  <c r="P258"/>
  <c r="P257"/>
  <c r="P256"/>
  <c r="P255"/>
  <c r="P253"/>
  <c r="P252"/>
  <c r="P251"/>
  <c r="P250"/>
  <c r="P249"/>
  <c r="P248"/>
  <c r="P247"/>
  <c r="P246"/>
  <c r="P245"/>
  <c r="P244"/>
  <c r="P243"/>
  <c r="P242"/>
  <c r="P241"/>
  <c r="P240"/>
  <c r="P239"/>
  <c r="P238"/>
  <c r="P237"/>
  <c r="P236"/>
  <c r="P235"/>
  <c r="P234"/>
  <c r="P233"/>
  <c r="P232"/>
  <c r="P231"/>
  <c r="P230"/>
  <c r="P229"/>
  <c r="P228"/>
  <c r="P227"/>
  <c r="P226"/>
  <c r="P225"/>
  <c r="P224"/>
  <c r="P223"/>
  <c r="P222"/>
  <c r="P221"/>
  <c r="P220"/>
  <c r="P219"/>
  <c r="P218"/>
  <c r="P217"/>
  <c r="P216"/>
  <c r="P215"/>
  <c r="P214"/>
  <c r="P213"/>
  <c r="P212"/>
  <c r="P211"/>
  <c r="P210"/>
  <c r="P209"/>
  <c r="P208"/>
  <c r="P207"/>
  <c r="P206"/>
  <c r="P205"/>
  <c r="P204"/>
  <c r="P203"/>
  <c r="P202"/>
  <c r="P201"/>
  <c r="P200"/>
  <c r="P199"/>
  <c r="P198"/>
  <c r="P197"/>
  <c r="P196"/>
  <c r="P195"/>
  <c r="P194"/>
  <c r="P193"/>
  <c r="P192"/>
  <c r="P191"/>
  <c r="P190"/>
  <c r="P189"/>
  <c r="P188"/>
  <c r="P187"/>
  <c r="P186"/>
  <c r="P185"/>
  <c r="P184"/>
  <c r="P183"/>
  <c r="P182"/>
  <c r="P181"/>
  <c r="P180"/>
  <c r="P179"/>
  <c r="P178"/>
  <c r="P177"/>
  <c r="P176"/>
  <c r="P175"/>
  <c r="P174"/>
  <c r="P173"/>
  <c r="P172"/>
  <c r="P171"/>
  <c r="P170"/>
  <c r="P169"/>
  <c r="P168"/>
  <c r="P167"/>
  <c r="P166"/>
  <c r="P165"/>
  <c r="P164"/>
  <c r="O164" s="1"/>
  <c r="P163"/>
  <c r="P162"/>
  <c r="P161"/>
  <c r="P160"/>
  <c r="P159"/>
  <c r="P158"/>
  <c r="P157"/>
  <c r="P156"/>
  <c r="P155"/>
  <c r="P154"/>
  <c r="P153"/>
  <c r="P152"/>
  <c r="P151"/>
  <c r="P150"/>
  <c r="P149"/>
  <c r="P148"/>
  <c r="P147"/>
  <c r="P146"/>
  <c r="P145"/>
  <c r="P144"/>
  <c r="P142"/>
  <c r="P141"/>
  <c r="P140"/>
  <c r="P139"/>
  <c r="P138"/>
  <c r="P137"/>
  <c r="P136"/>
  <c r="P135"/>
  <c r="P134"/>
  <c r="P133"/>
  <c r="P132"/>
  <c r="P131"/>
  <c r="P130"/>
  <c r="P129"/>
  <c r="P128"/>
  <c r="P127"/>
  <c r="P126"/>
  <c r="P125"/>
  <c r="P124"/>
  <c r="P123"/>
  <c r="P122"/>
  <c r="P121"/>
  <c r="P120"/>
  <c r="P119"/>
  <c r="P118"/>
  <c r="P117"/>
  <c r="P116"/>
  <c r="P115"/>
  <c r="P114"/>
  <c r="P113"/>
  <c r="P112"/>
  <c r="P111"/>
  <c r="P110"/>
  <c r="P109"/>
  <c r="P108"/>
  <c r="P107"/>
  <c r="P106"/>
  <c r="P105"/>
  <c r="P100"/>
  <c r="P99"/>
  <c r="P98"/>
  <c r="P97"/>
  <c r="P96"/>
  <c r="P95"/>
  <c r="P94"/>
  <c r="P93"/>
  <c r="P92"/>
  <c r="P91"/>
  <c r="P90"/>
  <c r="P89"/>
  <c r="P88"/>
  <c r="P87"/>
  <c r="P86"/>
  <c r="P85"/>
  <c r="P84"/>
  <c r="P83"/>
  <c r="P82"/>
  <c r="P81"/>
  <c r="P80"/>
  <c r="P79"/>
  <c r="P78"/>
  <c r="P77"/>
  <c r="P76"/>
  <c r="P75"/>
  <c r="P74"/>
  <c r="P73"/>
  <c r="P72"/>
  <c r="P71"/>
  <c r="P70"/>
  <c r="P69"/>
  <c r="P68"/>
  <c r="P67"/>
  <c r="P66"/>
  <c r="P64"/>
  <c r="P63"/>
  <c r="P59"/>
  <c r="P58"/>
  <c r="P56"/>
  <c r="P54"/>
  <c r="P51"/>
  <c r="P50"/>
  <c r="P48"/>
  <c r="O48" s="1"/>
  <c r="P46"/>
  <c r="P45"/>
  <c r="P44"/>
  <c r="P43"/>
  <c r="P42"/>
  <c r="P40"/>
  <c r="O40" s="1"/>
  <c r="P36"/>
  <c r="P35"/>
  <c r="P34"/>
  <c r="P33"/>
  <c r="P32"/>
  <c r="O32" s="1"/>
  <c r="P31"/>
  <c r="P30"/>
  <c r="P29"/>
  <c r="O29" s="1"/>
  <c r="P28"/>
  <c r="P27"/>
  <c r="P26"/>
  <c r="O26" s="1"/>
  <c r="P25"/>
  <c r="P24"/>
  <c r="P23"/>
  <c r="O23" s="1"/>
  <c r="P22"/>
  <c r="O22" s="1"/>
  <c r="P21"/>
  <c r="O21" s="1"/>
  <c r="P20"/>
  <c r="O20" s="1"/>
  <c r="P19"/>
  <c r="P18"/>
  <c r="P17"/>
</calcChain>
</file>

<file path=xl/sharedStrings.xml><?xml version="1.0" encoding="utf-8"?>
<sst xmlns="http://schemas.openxmlformats.org/spreadsheetml/2006/main" count="29890" uniqueCount="3121">
  <si>
    <t>Способ закупок</t>
  </si>
  <si>
    <t>Шкаф металлический</t>
  </si>
  <si>
    <t>Кресло офисное</t>
  </si>
  <si>
    <t>Фотоаппарат</t>
  </si>
  <si>
    <t>Видеокамера</t>
  </si>
  <si>
    <t>Фановая труба</t>
  </si>
  <si>
    <t>Смеситель</t>
  </si>
  <si>
    <t>Отрезной круг</t>
  </si>
  <si>
    <t>Плоскогубцы</t>
  </si>
  <si>
    <t>Набор отверток</t>
  </si>
  <si>
    <t>Грабли</t>
  </si>
  <si>
    <t>Кабель</t>
  </si>
  <si>
    <t>Метла</t>
  </si>
  <si>
    <t>Замок</t>
  </si>
  <si>
    <t>Жидкость для омывателя</t>
  </si>
  <si>
    <t>Антигель для дизельного топлива</t>
  </si>
  <si>
    <t xml:space="preserve">Бензин </t>
  </si>
  <si>
    <t>Степлер</t>
  </si>
  <si>
    <t>Клей</t>
  </si>
  <si>
    <t>Бумага факсовая</t>
  </si>
  <si>
    <t>Маркер</t>
  </si>
  <si>
    <t>Органайзер</t>
  </si>
  <si>
    <t>Файлы</t>
  </si>
  <si>
    <t>Скоросшиватель</t>
  </si>
  <si>
    <t>Скотч</t>
  </si>
  <si>
    <t>Карандаш</t>
  </si>
  <si>
    <t>Бумага для заметок</t>
  </si>
  <si>
    <t>Калькулятор</t>
  </si>
  <si>
    <t>Дырокол</t>
  </si>
  <si>
    <t>Зажим</t>
  </si>
  <si>
    <t>Стаканы</t>
  </si>
  <si>
    <t>Ложки чайные</t>
  </si>
  <si>
    <t xml:space="preserve">Техническое обслуживание промышленных и полупромышленных кондиционеров </t>
  </si>
  <si>
    <t>Ремонт шлагбаума</t>
  </si>
  <si>
    <t>Техобслуживание и ремонт  бытовых кондиционеров</t>
  </si>
  <si>
    <t>Расходы по ремонту сейфов</t>
  </si>
  <si>
    <t>Техническая поддержка IP АТС, включая Call-центр</t>
  </si>
  <si>
    <t>Обслуживание программного обеспечения по информационной безопасности</t>
  </si>
  <si>
    <t>Услуги по экспорту базы данных Агенства РК по статистике в ГИС Фонда</t>
  </si>
  <si>
    <t>Услуги по ремонту и обслуживанию основных средств и нематериальных активов</t>
  </si>
  <si>
    <t>Услуги по ремонту и обслуживанию легковых автомашин</t>
  </si>
  <si>
    <t>Разметка стоянки</t>
  </si>
  <si>
    <t xml:space="preserve">Изготовление фирменных бланков </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</si>
  <si>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</si>
  <si>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</si>
  <si>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</si>
  <si>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</si>
  <si>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</si>
  <si>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Поддержка доменных имен</t>
  </si>
  <si>
    <t>Услуги хостинга</t>
  </si>
  <si>
    <t xml:space="preserve">Корпоративные мероприятия </t>
  </si>
  <si>
    <t xml:space="preserve">Выпуск аналитической книги </t>
  </si>
  <si>
    <t>Расходы на повышение квалификации работников</t>
  </si>
  <si>
    <t xml:space="preserve">Услуги охраны залогового имущества  </t>
  </si>
  <si>
    <t>Услуги  охраны здания головного офиса</t>
  </si>
  <si>
    <t>Расходы на охрану помещения</t>
  </si>
  <si>
    <t>Юридические услуги</t>
  </si>
  <si>
    <t>Услуги направленные на оздоровление сотрудников</t>
  </si>
  <si>
    <t>Услуги по комплексной уборке помещений</t>
  </si>
  <si>
    <t>Копировальные услуги</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</si>
  <si>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</si>
  <si>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</si>
  <si>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</si>
  <si>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Услуги по дератизации и дезинсекции помещений</t>
  </si>
  <si>
    <t>Услуги по изготовлению баннеров</t>
  </si>
  <si>
    <t>Услуги кабельного телевидения</t>
  </si>
  <si>
    <t>Услуги связи</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</si>
  <si>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</si>
  <si>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</si>
  <si>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</si>
  <si>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</si>
  <si>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</si>
  <si>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</si>
  <si>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</si>
  <si>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Кредитного бюро</t>
  </si>
  <si>
    <t>Приобретение информационных услуг из других источников</t>
  </si>
  <si>
    <t>Услуги по аренде сейфовых ячеек</t>
  </si>
  <si>
    <t>Аудиторские услуги</t>
  </si>
  <si>
    <t>Брокерские услуги и номинальное держание ценных бумаг</t>
  </si>
  <si>
    <t xml:space="preserve">Приобретение специальной литературы  </t>
  </si>
  <si>
    <t xml:space="preserve">Услуги нотариуса </t>
  </si>
  <si>
    <t xml:space="preserve">Подписка на периодику </t>
  </si>
  <si>
    <t>Добровольное медицинское страхование сотрудников</t>
  </si>
  <si>
    <t>Страхование административного здания Фонда</t>
  </si>
  <si>
    <t xml:space="preserve">Услуги по оценке </t>
  </si>
  <si>
    <t>Услуги по оценке залогового имущества</t>
  </si>
  <si>
    <t>Услуги маркетинговых исследований состояния развития субъектов малого и среднего предпринимательства</t>
  </si>
  <si>
    <t>Услуги по отбору лекторов и обеспечение их участия в реализации Программы "Бизнес Советник"</t>
  </si>
  <si>
    <t>Услуги по изготовлению раздаточных материалов</t>
  </si>
  <si>
    <t xml:space="preserve">Услуги прикладных маркетинговых исследований в приоритетных  отраслях  регионов </t>
  </si>
  <si>
    <t>Услуги перевода</t>
  </si>
  <si>
    <t>Услуги по подготовке независимыми экспертами заключения по годовому отчету Фонда по проекту Бизнес-Советник</t>
  </si>
  <si>
    <t>Услуги по организации выездных заседаний Делового Совета Фонда</t>
  </si>
  <si>
    <t>Услуги сторонней организации для оказания услуг по взысканию задолженности по проблемному ссудному портфелю Фонда.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</si>
  <si>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</si>
  <si>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Услуги консультанта для ЦПП в моногородах</t>
  </si>
  <si>
    <t>Услуги по привлечению водителей для автобуса МЦПП</t>
  </si>
  <si>
    <t>Система видеонаблюдения</t>
  </si>
  <si>
    <t>Автошины для автобуса МЦПП</t>
  </si>
  <si>
    <t>Дизтопливо для автобуса МЦПП</t>
  </si>
  <si>
    <t>Услуги ремонта компьютерного оборудования</t>
  </si>
  <si>
    <t>Услуги ремонта оргтехники, замена картриджей</t>
  </si>
  <si>
    <t>Транспортные услуги</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</si>
  <si>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</si>
  <si>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</si>
  <si>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</si>
  <si>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Приобретение обзоров заработных плат</t>
  </si>
  <si>
    <t xml:space="preserve">Услуги по ремонту автобуса МЦПП </t>
  </si>
  <si>
    <t>Кресло руководителя</t>
  </si>
  <si>
    <t>Стул</t>
  </si>
  <si>
    <t>Услуги по мойке автобуса МЦПП, полировке и услуги аналогичные</t>
  </si>
  <si>
    <t>Услуги стоянок для автотранспортных средств</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</si>
  <si>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</si>
  <si>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</si>
  <si>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</si>
  <si>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 xml:space="preserve">Услуги по организации пресс-туров </t>
  </si>
  <si>
    <t xml:space="preserve">Расходы на рекламу </t>
  </si>
  <si>
    <t xml:space="preserve">Проведение информационных мероприятий (форумы, конференции, сессии, семинары, совещания и т.д.) </t>
  </si>
  <si>
    <t>Услуги по организация кофе-брейка</t>
  </si>
  <si>
    <t>Диск CD-RW</t>
  </si>
  <si>
    <t>Публикация объявлений в средствах массовой информации</t>
  </si>
  <si>
    <t>Лицензии для CRM Terrasoft XRM</t>
  </si>
  <si>
    <t>Услуги по изготовлению рекламных плакатов по Программе "Бизнес-Советник"</t>
  </si>
  <si>
    <t>Услуги по разработке дизайна, переводу, верстке и изготовлению годового отчета</t>
  </si>
  <si>
    <t>Услуги по уборке помещений</t>
  </si>
  <si>
    <t>Шкаф для одежды</t>
  </si>
  <si>
    <t>Лицензионное программное обеспечение Microsoft SQL Server Enterprise 2012</t>
  </si>
  <si>
    <t>Лицензионное программное обеспечение Microsoft
Windows Server Standard 2012</t>
  </si>
  <si>
    <t>Услуги водителей автотранспорта региональных филиалов</t>
  </si>
  <si>
    <t>Услуги аренды футбольного поля</t>
  </si>
  <si>
    <t xml:space="preserve">Услуги по предоставлению персонала для ресепшн </t>
  </si>
  <si>
    <t>Ноутбук среднего класса</t>
  </si>
  <si>
    <t>Компьютер форм-фактор моноблок</t>
  </si>
  <si>
    <t>Блейд-сервер</t>
  </si>
  <si>
    <t xml:space="preserve">Система хранения данных </t>
  </si>
  <si>
    <t>Ленточная библиотека накопитель типа LTO, число картриджей от 18 до 24</t>
  </si>
  <si>
    <t>LCD-KVM консоль 16-ть портов, в стойку 19'', диагональ не менее 17''</t>
  </si>
  <si>
    <t>Телефонный аппарат совместимый с IP АТС Avaya (модернизация телефонии регионального филиала)</t>
  </si>
  <si>
    <t>Аппаратно программный комплекс расширения функционала IP АТС Avaya, повышение отказоустойчивости</t>
  </si>
  <si>
    <t>Маршрутизатор нижнего класа (организация динамической маршрутизации)</t>
  </si>
  <si>
    <t>Коммутатор сетевой (Switch) организация уровня доступа для ЦОД</t>
  </si>
  <si>
    <t>Система видеоконференцсвязи (головной офис, 15 региональных филиалов)</t>
  </si>
  <si>
    <t>Приобретение автотранспорта</t>
  </si>
  <si>
    <t>Кондиционеры</t>
  </si>
  <si>
    <t>Приобретение зданий</t>
  </si>
  <si>
    <t>Железный шкаф</t>
  </si>
  <si>
    <t>Кресло для сотрудников</t>
  </si>
  <si>
    <t>Стеллажи архивные</t>
  </si>
  <si>
    <t>Стол в приемную</t>
  </si>
  <si>
    <t>шкаф для документов</t>
  </si>
  <si>
    <t>диван в кабинет директора</t>
  </si>
  <si>
    <t>кресло</t>
  </si>
  <si>
    <t>Мебель руководителя</t>
  </si>
  <si>
    <t>Набор мягкой мебели</t>
  </si>
  <si>
    <t>Шкаф металлический для документов</t>
  </si>
  <si>
    <t>Шкаф бух. металлический</t>
  </si>
  <si>
    <t>Проектор мультимедийный</t>
  </si>
  <si>
    <t>Ламинатор</t>
  </si>
  <si>
    <t>Переплетная машина</t>
  </si>
  <si>
    <t>Цифровая фотокамера</t>
  </si>
  <si>
    <t>Шкаф стеллаж для документов</t>
  </si>
  <si>
    <t>Шкаф со стеклом для документов</t>
  </si>
  <si>
    <t>Стол рабочий для сотрудников</t>
  </si>
  <si>
    <t>Стол раскладной</t>
  </si>
  <si>
    <t>Стул раскладной</t>
  </si>
  <si>
    <t>Стул офисный</t>
  </si>
  <si>
    <t>Кресло офисное для сотрудников</t>
  </si>
  <si>
    <t>Кресло для конференц зала</t>
  </si>
  <si>
    <t>Диван офисный для посетителей</t>
  </si>
  <si>
    <t>Кондиционер напольный</t>
  </si>
  <si>
    <t xml:space="preserve">Кондиционер </t>
  </si>
  <si>
    <t>Кресло для посетителей в кабинет директора</t>
  </si>
  <si>
    <t>стол</t>
  </si>
  <si>
    <t>Рецепшен для приемной</t>
  </si>
  <si>
    <t>Тумбы</t>
  </si>
  <si>
    <t xml:space="preserve">Фотоаппарат зеркальный </t>
  </si>
  <si>
    <t>Кондиционер</t>
  </si>
  <si>
    <t>Программное обеспечение сервер электронной почты</t>
  </si>
  <si>
    <t>Программное обеспечение сервера коммуникаций позволяющая пользователям общаться друг с другом в реальном времени, используя различные виды коммуникаций: мгновенные сообщения, видео- и голосовую связь, общий доступ к рабочему столу, конференции, передача файлов</t>
  </si>
  <si>
    <t>Программное обеспечение виртуализации серверов</t>
  </si>
  <si>
    <t>Система биллинга телефонных переговоров, программно-аппаратный комплекс</t>
  </si>
  <si>
    <t>Программно-аппаратный комплекс фильтрации web-трафика</t>
  </si>
  <si>
    <t>Программный продукт - система автоматизации документооборота</t>
  </si>
  <si>
    <t>Лицензия на на программное обеспечение антивирусной  защиты (1 год, объектов защиты 520)</t>
  </si>
  <si>
    <t>Лицензионное программное обеспечение Microsoft Office</t>
  </si>
  <si>
    <t>Программное обеспечение для работы с документами в формате pdf</t>
  </si>
  <si>
    <t>Вентиль</t>
  </si>
  <si>
    <t>Кисть 75 мм</t>
  </si>
  <si>
    <t>Кисть 38 мм</t>
  </si>
  <si>
    <t>Бур по бетону</t>
  </si>
  <si>
    <t>Набор сверел по металлу</t>
  </si>
  <si>
    <t>Насадки для шуруповерта</t>
  </si>
  <si>
    <t>Изолента</t>
  </si>
  <si>
    <t xml:space="preserve">Шланг </t>
  </si>
  <si>
    <t>Шуруп для Г/К</t>
  </si>
  <si>
    <t>Шуруп для крепления</t>
  </si>
  <si>
    <t>Лампа энергосб.</t>
  </si>
  <si>
    <t>Клей жидкий</t>
  </si>
  <si>
    <t xml:space="preserve">Стартеры </t>
  </si>
  <si>
    <t>Лопата</t>
  </si>
  <si>
    <t>Сердечник</t>
  </si>
  <si>
    <t>Дверная ручка</t>
  </si>
  <si>
    <t>Степлер мебельный</t>
  </si>
  <si>
    <t>Дистанционная карточка (прокси-карта)</t>
  </si>
  <si>
    <t>Пульт от кондиционера</t>
  </si>
  <si>
    <t>Вода питьевая, 0,5 л</t>
  </si>
  <si>
    <t>Цветы</t>
  </si>
  <si>
    <t xml:space="preserve">Регистратор - А4 70мм </t>
  </si>
  <si>
    <t xml:space="preserve">Регистратор - А4 50мм. </t>
  </si>
  <si>
    <t xml:space="preserve">Скоросшиватель картонный - белый </t>
  </si>
  <si>
    <t xml:space="preserve">Лента клейкая - 48ммх66м прозрачн. </t>
  </si>
  <si>
    <t>Степлер - №10</t>
  </si>
  <si>
    <t xml:space="preserve">Степлер - №24/6.26/6 </t>
  </si>
  <si>
    <t>Степлер - №23/6.23/8-23/10</t>
  </si>
  <si>
    <t xml:space="preserve">Скобы - №10 </t>
  </si>
  <si>
    <t>Скобы - №24/6</t>
  </si>
  <si>
    <t>Корректирующая жидкость, с кисточкой</t>
  </si>
  <si>
    <t xml:space="preserve">Корректирующая лента </t>
  </si>
  <si>
    <t>Дырокол - 70л.</t>
  </si>
  <si>
    <t xml:space="preserve">Зажим - 19мм </t>
  </si>
  <si>
    <t xml:space="preserve">Зажим - 32мм </t>
  </si>
  <si>
    <t>Корзина д/бумаг</t>
  </si>
  <si>
    <t xml:space="preserve">Лоток вертикальный </t>
  </si>
  <si>
    <t>Батарейка, ААА</t>
  </si>
  <si>
    <t xml:space="preserve">Маркер текстовый </t>
  </si>
  <si>
    <t>Файл - А4</t>
  </si>
  <si>
    <t>Конверт (А4)</t>
  </si>
  <si>
    <t>Конверт (евро)</t>
  </si>
  <si>
    <t>Конверт (А5)</t>
  </si>
  <si>
    <t>Стикеры, 5 цветов</t>
  </si>
  <si>
    <t>Лента клейкая</t>
  </si>
  <si>
    <t>Бумага А4</t>
  </si>
  <si>
    <t>стикеры</t>
  </si>
  <si>
    <t>Регистратор</t>
  </si>
  <si>
    <t>Скрепки</t>
  </si>
  <si>
    <t>Скобы</t>
  </si>
  <si>
    <t>Корректор</t>
  </si>
  <si>
    <t xml:space="preserve">Конверт </t>
  </si>
  <si>
    <t>Шины: микроавтобус (летние)</t>
  </si>
  <si>
    <t>Шины:микроавтобус (летние)</t>
  </si>
  <si>
    <t>Шины: Тойота Камри, 2.4 (зимние)</t>
  </si>
  <si>
    <t>Шины: Тойота Камри, 3.5 (зимние)</t>
  </si>
  <si>
    <t>Техническая поддержка системы бесперебойного питания Gamatronic 20 кВа и 100 кВа</t>
  </si>
  <si>
    <t>Техническая поддержка Terrasoft XRM</t>
  </si>
  <si>
    <t>Техническая поддержка сетевого оборудования, Cisco smartnet 8x5xnbd</t>
  </si>
  <si>
    <t xml:space="preserve">Услуги по настройке сетевого оборудования, оптимизации сети, повышения отказоустойчивости </t>
  </si>
  <si>
    <t>Информационно-Технологическое Сопровождение (ИТС) «1С:Предприятие»</t>
  </si>
  <si>
    <t>Обслуживание систем электронной очереди</t>
  </si>
  <si>
    <t>Аренда программного обеспечения по программе Enterprise Agreement Microsoft CoreCAL (CoreCAL ALNG LicSAPk MVL DvcCAL), включая Software Assurance</t>
  </si>
  <si>
    <t>Аренда дополнительных программных продуктов по программе Enterprise Agreement Microsoft SQL Server Standard (SQLSvrStdCore ALNG LicSAPk MVL 2Lic CoreLic), включая Software Assurance</t>
  </si>
  <si>
    <t>Аренда дополнительных программных продуктов по программе Enterprise Agreement Microsoft System Center (SysCtrStd ALNG LicSAPk MVL 2Proc), включая Software Assurance</t>
  </si>
  <si>
    <t>Аренда дополнительных программных продуктов по программе Enterprise Agreement Microsoft Windows Remote Desktop (WinRmtDsktpSrvcsCAL ALNG LicSAPk MVL DvcCAL), включая Software Assurance</t>
  </si>
  <si>
    <t>Обслуживание ДГУ головного офиса</t>
  </si>
  <si>
    <t>Обслуживание пожарной сигнализации</t>
  </si>
  <si>
    <t>Обслуживние охранной сигнализации</t>
  </si>
  <si>
    <t>Обслуживание системы видеонаблюдения</t>
  </si>
  <si>
    <t>Обслуживание системы контроля доступа</t>
  </si>
  <si>
    <t>Услуги по ремонту и техобслуживанию лифта</t>
  </si>
  <si>
    <t>Услуги по техобслуживанию оргтехники  ЦОП</t>
  </si>
  <si>
    <t>Типографские услуги</t>
  </si>
  <si>
    <t>Стоимость услуг по актуализации справочника ЕНС ТРУ</t>
  </si>
  <si>
    <t>Услуги утилизации списанного имущества</t>
  </si>
  <si>
    <t>Услуги организации кофе-брейков</t>
  </si>
  <si>
    <t xml:space="preserve">Услуги по изготовлению брендированной фирменной корпоративной продукция </t>
  </si>
  <si>
    <t xml:space="preserve">Услуги  охраны здания </t>
  </si>
  <si>
    <t>Доступ к сети Интернет со скоростью 32 Мбит/с Unlimited - головной офис</t>
  </si>
  <si>
    <t>Доступ к сети Интернет со скоростью 8 Мбит/с Unlimited - головной офис</t>
  </si>
  <si>
    <t>Интернет со скоростью 2 Мбит/с Unlimited - региональные филиалы</t>
  </si>
  <si>
    <t>Услуга доступа IP VPN с пропускной способностью шлюза 8 Мбит/с - головной офис</t>
  </si>
  <si>
    <t>Услуга доступа IP VPN с пропускной способностью шлюза 512 Кбит/с - региональные филиалы</t>
  </si>
  <si>
    <t>Абонентская плата за Business Trunk - головной офис</t>
  </si>
  <si>
    <t>Доступ к услуге расширенный мониторинг сети IP VPN</t>
  </si>
  <si>
    <t>Абонентская плата за пользование услугой персонализированная техническая поддержка</t>
  </si>
  <si>
    <t>Абонплата за телефон (аналоговые линии головного офиса)</t>
  </si>
  <si>
    <t>Абонплата за интеллектуальный номер Toll Free</t>
  </si>
  <si>
    <t>Междугородние, -народные и сотовые переговоры</t>
  </si>
  <si>
    <t>Абонентская плата за канал IP VPN г. Жанаозен</t>
  </si>
  <si>
    <t>Услуги спецсвязи</t>
  </si>
  <si>
    <t>Информационная система ПАРАГРАФ (ЮРИСТ)</t>
  </si>
  <si>
    <t>Услуги по наблюдению кредитного рейтинга</t>
  </si>
  <si>
    <t>Услуги по внедрению системы менеджмента качества</t>
  </si>
  <si>
    <t>Анализ профиля личности посредством специализированных систем оценки (система Томаса) по вновь принимаемым работникам и кадровым резервистам.</t>
  </si>
  <si>
    <t xml:space="preserve">Командный аудит 16 региональных филиалов посредством специализированных систем оценки (система Томаса) </t>
  </si>
  <si>
    <t>Налоговый аудит</t>
  </si>
  <si>
    <t xml:space="preserve">Обязательное страхование автотранспорта </t>
  </si>
  <si>
    <t>Централизованное добровольное страхование  автомашин Фонда</t>
  </si>
  <si>
    <t>Услуги по обслуживанию здания (услуги дворника, плотника, электрика)</t>
  </si>
  <si>
    <t>Ремонт и обслуживание кондиционеров</t>
  </si>
  <si>
    <t>Заправка, дозаправка кондиционеров</t>
  </si>
  <si>
    <t>Благустроиство территории</t>
  </si>
  <si>
    <t>Опрессовка системы отопления</t>
  </si>
  <si>
    <t>Обязательное страхование автобуса МЦПП</t>
  </si>
  <si>
    <t>Освещение мер государственной поддержки в СМИ</t>
  </si>
  <si>
    <t>Подготовка информационно-аналитического комплекса материалов (пресс-кит)</t>
  </si>
  <si>
    <t>Подготовка и размещение инфографики (схем и рисунков) в региональных и республиканских СМИ</t>
  </si>
  <si>
    <t>Организация деятельности Call-центра Оператора для разъяснения условий предоставления государственной поддержки предпринимателям</t>
  </si>
  <si>
    <t>Разработка регулярных отчетов по сектору МСБ, включая ежегодный выпуск отчета о состоянии развития МСБ в Казахстане и его регионах</t>
  </si>
  <si>
    <t>Транспортные расходы по зарубежному преподавательскому составу.</t>
  </si>
  <si>
    <t>Создание и актуализация базы данных слушателей, базы данных преподавательского состава по всем региональным учебным центрам.</t>
  </si>
  <si>
    <t>Проведение занятий и консультаций в Региональных учебных центрах, командирование казахстанских тренеров.</t>
  </si>
  <si>
    <t>Проведение вэб-семинаров, онлайн консультирование, обслуживание интернет ресурса программы.</t>
  </si>
  <si>
    <t>Сбор анкет претендентов на стажировку, предварительный скрининг поданных анкет.</t>
  </si>
  <si>
    <t>Участие в организации очередного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Проведение Казахстанско-Германского управленческого комитета.</t>
  </si>
  <si>
    <t xml:space="preserve">Подготовка участников к отправке на зарубежную стажировку (авиабилеты). </t>
  </si>
  <si>
    <t>Проведение Расширенной Конференции по итогам реализации бизнес-планов.</t>
  </si>
  <si>
    <t>Участие представителей Исполнителя в Партнерской конференции в Германии.</t>
  </si>
  <si>
    <t xml:space="preserve">Разработка программы обучения по проекту «Деловые связи» </t>
  </si>
  <si>
    <t xml:space="preserve">Подготовка учебных материалов </t>
  </si>
  <si>
    <t xml:space="preserve">Организация кофе-брейков во время занятий </t>
  </si>
  <si>
    <t>Проведение мониторинга реализации проекта «Деловые связи»</t>
  </si>
  <si>
    <t>Хостинг сайта</t>
  </si>
  <si>
    <t>Контент - поддержка сайта на государственном языке (в расчете на двух специалистов)</t>
  </si>
  <si>
    <t>Контент - поддержка сайта на русском языке (в расчете на двух специалистов)</t>
  </si>
  <si>
    <t>Техническая поддержка сайта</t>
  </si>
  <si>
    <t>База данных нормативных документов</t>
  </si>
  <si>
    <t>Модернизация бизнес-портала для предпринимателей</t>
  </si>
  <si>
    <t>Разработка и тиражирование брошюры информационно-методического характера по франчайзингу</t>
  </si>
  <si>
    <t xml:space="preserve">Услуги по изучению и анализу  рынка по франчайзингу </t>
  </si>
  <si>
    <t xml:space="preserve">Услуги консультанта для  МЦПП </t>
  </si>
  <si>
    <t>Консультации по бухгалтерскому и налоговому учету</t>
  </si>
  <si>
    <t>Консультации по юридическим услугам и ведению бизнеса</t>
  </si>
  <si>
    <t>Консультации по вопросам маркетинга и бизнес - планирования</t>
  </si>
  <si>
    <t>Консультации по видам и инструментам государственной поддержки предпринимательства, и программам Фонда</t>
  </si>
  <si>
    <t>Консультант по взаимодействию с государствнными органами и банками второго уровня, коучинг</t>
  </si>
  <si>
    <t>Консультации по вопросам государственных закупок, лицензирования и сертификации</t>
  </si>
  <si>
    <t>Консультации по вопросам связанные с государственными закупками</t>
  </si>
  <si>
    <t>Консультации по IT технологиям и государственным закупкам</t>
  </si>
  <si>
    <t>Консультации по взаимодействию с государственными органами и банками второго уровня, коучинг</t>
  </si>
  <si>
    <t>Консультации по разрешительным процедурам в области архитектуры и гражданского строительства</t>
  </si>
  <si>
    <t>Консультации по вопросам  государственных закупок,   закупок национальных компаний и  недропользователей</t>
  </si>
  <si>
    <t>Консультации по вопросам подготовке документов для финансирования в БВУ и по государственным закупкам</t>
  </si>
  <si>
    <t>Консультации по  программам Фонда</t>
  </si>
  <si>
    <t>Дизайн и печать раздаточных материалов для Центров поддержки предпринимательства в моногородах</t>
  </si>
  <si>
    <t>Услуги по разработке и тиражированию рекламных материалов ШМП</t>
  </si>
  <si>
    <t>Услуги по организации и проведению Мастер-класса "Обучение преподавателей" в рамках проекта "Бизнес-Советник"</t>
  </si>
  <si>
    <t>Проведение анализа эффектиновсти проекта "Бизнес-Советник"</t>
  </si>
  <si>
    <t>Создание рекламного видеоролика по проекту «Бизнес-Советник-2»</t>
  </si>
  <si>
    <t>Проведение анализа эффектиновсти проекта "Бизнес-Советник-2"</t>
  </si>
  <si>
    <t>Услуги по изготовлению рекламных плакатов по Программе "Бизнес-Советник-2"</t>
  </si>
  <si>
    <t>Услуги по организации и проведению Мастер-класса "Обучение преподавателей" в рамках проекта "Бизнес-Советник-2"</t>
  </si>
  <si>
    <t>Аренда автотранспорта для лекторов в рамках программы "Бизнес-советник" и "Бизнес-Советник-2"</t>
  </si>
  <si>
    <t>Услуги по отбору лекторов и обеспечение их участия в реализации Программы "Бизнес Советник-2"</t>
  </si>
  <si>
    <t xml:space="preserve">Стол рабочий </t>
  </si>
  <si>
    <t xml:space="preserve">Шкаф для одежды </t>
  </si>
  <si>
    <t>Шкаф для документов</t>
  </si>
  <si>
    <t xml:space="preserve">Конференцстол </t>
  </si>
  <si>
    <t>Стол комп.-принт.</t>
  </si>
  <si>
    <t xml:space="preserve">Тумба мобильная </t>
  </si>
  <si>
    <t xml:space="preserve">Стол комп.-принт. </t>
  </si>
  <si>
    <t>Стол приставной  (для кабинета директора)</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</si>
  <si>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</si>
  <si>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</si>
  <si>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</si>
  <si>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</si>
  <si>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</si>
  <si>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</si>
  <si>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</si>
  <si>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</si>
  <si>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</si>
  <si>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</si>
  <si>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</si>
  <si>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</si>
  <si>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</si>
  <si>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</si>
  <si>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</si>
  <si>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</si>
  <si>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</si>
  <si>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</si>
  <si>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Гибкая подводка</t>
  </si>
  <si>
    <t>Герметик силиконовый</t>
  </si>
  <si>
    <t>Валик малярный</t>
  </si>
  <si>
    <t>Дрель шуруповерт</t>
  </si>
  <si>
    <t xml:space="preserve">Ножовка </t>
  </si>
  <si>
    <t>Лента электроизоляционная</t>
  </si>
  <si>
    <t>Шланг</t>
  </si>
  <si>
    <t>Шуруп</t>
  </si>
  <si>
    <t xml:space="preserve">Лампы люминесцентные </t>
  </si>
  <si>
    <t xml:space="preserve">Клей </t>
  </si>
  <si>
    <t>Стартер</t>
  </si>
  <si>
    <t>Сердцевина замка</t>
  </si>
  <si>
    <t>Набор инструментов</t>
  </si>
  <si>
    <t>Тележка для перевозки грузов</t>
  </si>
  <si>
    <t>Тележка для мусора</t>
  </si>
  <si>
    <t>Лестница стремянка</t>
  </si>
  <si>
    <t>Фонарик</t>
  </si>
  <si>
    <t xml:space="preserve">Консультации по вопросам получения разрешительных документов </t>
  </si>
  <si>
    <t>Консультации по вопросам государственных и прочих закупок</t>
  </si>
  <si>
    <t>Маркер для доски</t>
  </si>
  <si>
    <t>Губка для маркерных досок</t>
  </si>
  <si>
    <t>Доска-флипчарт</t>
  </si>
  <si>
    <t>Настенные блокноты для записей</t>
  </si>
  <si>
    <t>22.11.17.00.11.17.11.20.1</t>
  </si>
  <si>
    <t>Автошина</t>
  </si>
  <si>
    <t>Размер:235/55R18.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Летняя шина.</t>
  </si>
  <si>
    <t>Автошины для легкового автомобиля</t>
  </si>
  <si>
    <t>февраль</t>
  </si>
  <si>
    <t>Топливо дизельное</t>
  </si>
  <si>
    <t>январь</t>
  </si>
  <si>
    <t>в течение года</t>
  </si>
  <si>
    <t>13.99.19.00.00.00.50.11.1</t>
  </si>
  <si>
    <t xml:space="preserve">из стеклянных нитей </t>
  </si>
  <si>
    <t>25.73.10.00.00.10.10.14.1</t>
  </si>
  <si>
    <t>Лопаты подборочные (совковые)</t>
  </si>
  <si>
    <t>Шурупы с квадратной головкой из черных металлов</t>
  </si>
  <si>
    <t>27.40.22.00.00.13.11.20.1</t>
  </si>
  <si>
    <t>Светильник</t>
  </si>
  <si>
    <t>ГОСТ 17677-82, источник света (лампа) Л - прямые трубчатые люминисцентные</t>
  </si>
  <si>
    <t>27.32.13.00.02.01.68.11.1</t>
  </si>
  <si>
    <t>КРПТ 4*4</t>
  </si>
  <si>
    <t>20.52.10.00.00.00.06.25.2</t>
  </si>
  <si>
    <t>Клей ПВА</t>
  </si>
  <si>
    <t>марки ДФ 50/5Н, ГОСТ 18992-80</t>
  </si>
  <si>
    <t>27.40.42.00.00.00.02.10.1</t>
  </si>
  <si>
    <t>мощность люминесцентной лампы свыше 140 Вт</t>
  </si>
  <si>
    <t>25.72.13.00.00.31.10.10.1</t>
  </si>
  <si>
    <t>Сердцевина для врезного замка</t>
  </si>
  <si>
    <t>30.99.10.00.00.00.10.20.1</t>
  </si>
  <si>
    <t>Ручные двухколесные тележки для перевозки грузов массой до 200-250 кг</t>
  </si>
  <si>
    <t>25.72.11.00.00.10.11.10.1</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</si>
  <si>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</si>
  <si>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25.99.29.00.02.13.17.10.1</t>
  </si>
  <si>
    <t>Лестница-стремянка</t>
  </si>
  <si>
    <t xml:space="preserve">Лестница-стремянка  алюминиевая </t>
  </si>
  <si>
    <t>19.20.21.00.00.00.11.40.1</t>
  </si>
  <si>
    <t>Бензин</t>
  </si>
  <si>
    <t>неэтилированный и этилированный, произведенный для двигателей с искровым зажиганием: АИ-92</t>
  </si>
  <si>
    <t>17.12.13.40.10.00.00.10.1</t>
  </si>
  <si>
    <t>Қағаз</t>
  </si>
  <si>
    <t xml:space="preserve">Бумага </t>
  </si>
  <si>
    <t>формат А4, плотность 80г/м2, 21х29,5 см</t>
  </si>
  <si>
    <t>17.12.13.20.00.00.00.50.1</t>
  </si>
  <si>
    <t>Бумага</t>
  </si>
  <si>
    <t>для факса, факсовые ролики, белый, плотность 80г/кв.м, масса 1кв.м 80г, ширина 210мм, диаметр 800мм, температура 18-25С</t>
  </si>
  <si>
    <t>17.23.12.30.00.00.00.70.1</t>
  </si>
  <si>
    <t>Стикеры</t>
  </si>
  <si>
    <t>с липким краем, для заметок</t>
  </si>
  <si>
    <t>22.29.25.00.00.00.23.15.1</t>
  </si>
  <si>
    <t>Желім-қалам</t>
  </si>
  <si>
    <t>Клей-карандаш</t>
  </si>
  <si>
    <t>Желім-қалам 22 грамм</t>
  </si>
  <si>
    <t xml:space="preserve">Клей-карандаш 22 грамм </t>
  </si>
  <si>
    <t>22.29.25.00.00.00.19.13.1</t>
  </si>
  <si>
    <t>Перманентті (өшірілмейтін) пластиктен жасалған маркер, басы домалақ 3 мм</t>
  </si>
  <si>
    <t xml:space="preserve"> Маркер пластиковый перманентный (нестираемый), круглый наконечник 3мм</t>
  </si>
  <si>
    <t>22.29.25.00.00.00.13.30.1</t>
  </si>
  <si>
    <t>Айналма негіздегі, домалақ, пластиктен жасалған столға арналған органайзер, құрамында 10 затқа дейін</t>
  </si>
  <si>
    <t>Органайзер пластиковый настольный овальный на вращающейся основе,  до 10 предметов</t>
  </si>
  <si>
    <t>17.23.13.60.00.00.00.80.1</t>
  </si>
  <si>
    <t>Регистр</t>
  </si>
  <si>
    <t>Картоннан немесе қағаздан жасалған регистратор, формат А4 ке</t>
  </si>
  <si>
    <t>Регистратор из картона или бумаги, под формат А4</t>
  </si>
  <si>
    <t>32.99.80.00.00.00.00.10.1</t>
  </si>
  <si>
    <t>широкий, свыше 3 см</t>
  </si>
  <si>
    <t>25.99.23.00.00.11.11.10.1</t>
  </si>
  <si>
    <t>Скрепка</t>
  </si>
  <si>
    <t>Скрепки для бумаг. Размер 22 мм</t>
  </si>
  <si>
    <t>25.99.23.00.00.10.11.10.1</t>
  </si>
  <si>
    <t>Қапсырма</t>
  </si>
  <si>
    <t>Скоба</t>
  </si>
  <si>
    <t>Канцелярляқ мақсаттар үшін сым қапсырма</t>
  </si>
  <si>
    <t>Скобы проволочные для канцелярских целей</t>
  </si>
  <si>
    <t>25.99.23.00.00.11.18.10.1</t>
  </si>
  <si>
    <t>устройство для оперативного скрепления листов металлическими скобами</t>
  </si>
  <si>
    <t>32.99.81.00.00.10.10.12.1</t>
  </si>
  <si>
    <t>Штрих-корректор</t>
  </si>
  <si>
    <t>с кисточкой и разбавителем</t>
  </si>
  <si>
    <t>22.29.25.00.00.00.20.15.1</t>
  </si>
  <si>
    <t>Ручка</t>
  </si>
  <si>
    <t xml:space="preserve">Пластиктен жасалған шариктік ручка </t>
  </si>
  <si>
    <t xml:space="preserve">Ручка пластиковая шариковая </t>
  </si>
  <si>
    <t>Қалам</t>
  </si>
  <si>
    <t xml:space="preserve">прочие, не включенные в другие группировки </t>
  </si>
  <si>
    <t>17.23.12.30.00.00.00.03.1</t>
  </si>
  <si>
    <t>из цветной бумаги (блок из бумаг для заметок)</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</si>
  <si>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</si>
  <si>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</si>
  <si>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</si>
  <si>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17.23.12.10.00.00.00.60.1</t>
  </si>
  <si>
    <t>Конверты</t>
  </si>
  <si>
    <t>формат B4 (250 х 353 мм)</t>
  </si>
  <si>
    <t>25.99.23.00.00.11.15.10.1</t>
  </si>
  <si>
    <t>Тескіш</t>
  </si>
  <si>
    <t>қағаздарды теуге арналған механикалық құрылғы</t>
  </si>
  <si>
    <t>механическое устройство для пробивания отверстий в бумаге</t>
  </si>
  <si>
    <t>Упаковка</t>
  </si>
  <si>
    <t>22.29.25.00.00.00.19.10.1</t>
  </si>
  <si>
    <t>32.99.81.00.00.32.10.10.1</t>
  </si>
  <si>
    <t>62.02.30.10.10.00.00</t>
  </si>
  <si>
    <t>Услуги по техническому обслуживанию и ремонту машин и оборудования офисных</t>
  </si>
  <si>
    <t>29.20.40.16.00.00.00</t>
  </si>
  <si>
    <t>Автокөлікке техникалық қызмет көрсету</t>
  </si>
  <si>
    <t>Техническое обслуживание автотранспорта</t>
  </si>
  <si>
    <t>Техническое обслуживание  автотранспорта (замена масел, жидкостей, фильтров, тормозных колодок, свечей, ремней)</t>
  </si>
  <si>
    <t>45.20.30.10.00.00.00</t>
  </si>
  <si>
    <t>Услуги по мойке машин, полировке и услуги аналогичные</t>
  </si>
  <si>
    <t xml:space="preserve">Комплекс услуг по мойке машин, полировке и услуги аналогичные </t>
  </si>
  <si>
    <t>52.21.24.10.00.00.00</t>
  </si>
  <si>
    <t>71.20.14.10.00.00.00</t>
  </si>
  <si>
    <t>81.21.10.10.00.00.00</t>
  </si>
  <si>
    <t>Ғимаратты жалпы жинау қызметтері</t>
  </si>
  <si>
    <t>Услуги по общей уборке зданий</t>
  </si>
  <si>
    <t xml:space="preserve">Услуги по уборке помещений </t>
  </si>
  <si>
    <t>81.10.10.10.00.00.00</t>
  </si>
  <si>
    <t>Услуги по комплексному обслуживанию объектов</t>
  </si>
  <si>
    <t>Комплексное обслуживание объектов (общая уборка интерьера, вывоз мусора, обеспечение охраны и безопасности, услуги почты, прачечной)</t>
  </si>
  <si>
    <t>май</t>
  </si>
  <si>
    <t>июнь</t>
  </si>
  <si>
    <t>35.30.12.16.00.00.00</t>
  </si>
  <si>
    <t>Жылыту жүйесін жуу және қысу бойынша қызметтер</t>
  </si>
  <si>
    <t>Услуги по промывке и опрессовке системы отопления</t>
  </si>
  <si>
    <t>октябрь</t>
  </si>
  <si>
    <t>18.12.14.11.00.00.00</t>
  </si>
  <si>
    <t>Баспалық қызметтер</t>
  </si>
  <si>
    <t>Услуги по печатанию</t>
  </si>
  <si>
    <t>Услуги по печатанию брошюр, журналов документации и аналогичной продукции</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</si>
  <si>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</si>
  <si>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</si>
  <si>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</si>
  <si>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</si>
  <si>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март</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</si>
  <si>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</si>
  <si>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</si>
  <si>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</si>
  <si>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</si>
  <si>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</si>
  <si>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</si>
  <si>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</si>
  <si>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</si>
  <si>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82.30.11.13.00.00.00</t>
  </si>
  <si>
    <t>Услуги по организации форума</t>
  </si>
  <si>
    <t>Комплекс услуг по организации форума (проведение форума с приглашением специалистов, обучение, проведение тренингов, деловых игр, семинаров)</t>
  </si>
  <si>
    <t>18.12.19.23.00.00.00</t>
  </si>
  <si>
    <t>Басқа поиграфиялық қызметтер</t>
  </si>
  <si>
    <t>Услуги полиграфические прочие</t>
  </si>
  <si>
    <t>Көрнекті агитация дайындау мен баспадан шығару қызметтері</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</si>
  <si>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</si>
  <si>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</si>
  <si>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</si>
  <si>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</si>
  <si>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</si>
  <si>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</si>
  <si>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</si>
  <si>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</si>
  <si>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</si>
  <si>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80.10.12.11.00.00.00</t>
  </si>
  <si>
    <t>Услуги охранников по защите имущества юридических лиц</t>
  </si>
  <si>
    <t>61.10.11.06.01.00.00</t>
  </si>
  <si>
    <t>Услуги фиксированной местной, междугородней, международной телефонной связи  - доступ и пользование</t>
  </si>
  <si>
    <t>53.10.12.20.10.00.00</t>
  </si>
  <si>
    <t>Услуги почтовые внутри страны</t>
  </si>
  <si>
    <t>53.10.12.20.12.00.00</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</si>
  <si>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</si>
  <si>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</si>
  <si>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</si>
  <si>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</si>
  <si>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</si>
  <si>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</si>
  <si>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</si>
  <si>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</si>
  <si>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</si>
  <si>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</si>
  <si>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</si>
  <si>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</si>
  <si>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</si>
  <si>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</si>
  <si>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</si>
  <si>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</si>
  <si>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</si>
  <si>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</si>
  <si>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</si>
  <si>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</si>
  <si>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</si>
  <si>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</si>
  <si>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</si>
  <si>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</si>
  <si>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</si>
  <si>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</si>
  <si>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</si>
  <si>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</si>
  <si>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53.10.11.30.20.00.00</t>
  </si>
  <si>
    <t>Услуги по подписке на другие периодические издания</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</si>
  <si>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</si>
  <si>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</si>
  <si>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</si>
  <si>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</si>
  <si>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68.31.16.00.00.00.01</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</si>
  <si>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</si>
  <si>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</si>
  <si>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69.20.40.10.00.00.00</t>
  </si>
  <si>
    <t>Услуги, связанные с неплатежеспособностью и взысканием задолженности</t>
  </si>
  <si>
    <t>ноябрь</t>
  </si>
  <si>
    <t>96.09.19.71.00.00.00</t>
  </si>
  <si>
    <t>сентябрь</t>
  </si>
  <si>
    <t>85.60.10.16.00.00.00</t>
  </si>
  <si>
    <t xml:space="preserve">Услуги образовательные вспомогательные прочие </t>
  </si>
  <si>
    <t>06 Из одного источника</t>
  </si>
  <si>
    <t>56.10.11.10.13.00.00</t>
  </si>
  <si>
    <t>Қызмет атқарулар ша жолсапардың күтуінің(кейтеринг)</t>
  </si>
  <si>
    <t>Услуги по выездному обслуживанию (кейтеринг)</t>
  </si>
  <si>
    <t>ұйым және кофелердің-брейктің жаса</t>
  </si>
  <si>
    <t>организация и проведение кофе-брейков</t>
  </si>
  <si>
    <t>Услуга</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</si>
  <si>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</si>
  <si>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</si>
  <si>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</si>
  <si>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</si>
  <si>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</si>
  <si>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11.07.11.00.00.00.06.20.4</t>
  </si>
  <si>
    <t>Су  (минералды судан басқа)</t>
  </si>
  <si>
    <t>Вода  (кроме вод минеральных)</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</si>
  <si>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</si>
  <si>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</si>
  <si>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Питьевая вода в пластиковых бутылях, 19 л.</t>
  </si>
  <si>
    <t>43.22.12.10.13.00.00</t>
  </si>
  <si>
    <t>Жылу жүйесін техникалық қамсыздандыру қызметтері</t>
  </si>
  <si>
    <t>Услуги по техническому обслуживанию системы отопления</t>
  </si>
  <si>
    <t>апрель</t>
  </si>
  <si>
    <t>49.32.12.20.00.00.00</t>
  </si>
  <si>
    <t>Услуги по аренде легковых автомобилей с водителем</t>
  </si>
  <si>
    <t>Аренда легковых автомобилей с предоставлением услуг водителя</t>
  </si>
  <si>
    <t>27.12.21.13.11.11.11.70.1</t>
  </si>
  <si>
    <t>Предохранитель калиброванный</t>
  </si>
  <si>
    <t>на напряжение 220В, ток 250А</t>
  </si>
  <si>
    <t>Предохранитель от напряжения тока</t>
  </si>
  <si>
    <t>29.32.30.00.15.00.05.02.1</t>
  </si>
  <si>
    <t>Включатель</t>
  </si>
  <si>
    <t>двухполюсный</t>
  </si>
  <si>
    <t>25.72.14.00.00.60.51.10.1</t>
  </si>
  <si>
    <t>Доводчик двери</t>
  </si>
  <si>
    <t>Доводчик до 120кг</t>
  </si>
  <si>
    <t>22.19.72.00.00.00.30.40.1</t>
  </si>
  <si>
    <t>Ковролан</t>
  </si>
  <si>
    <t>Ковролан резиновый</t>
  </si>
  <si>
    <t>Метр квадратный</t>
  </si>
  <si>
    <t>22.11.13.00.00.11.10.01.1</t>
  </si>
  <si>
    <t>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</si>
  <si>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</si>
  <si>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631000000</t>
  </si>
  <si>
    <t>20.52.10.00.00.00.09.09.4</t>
  </si>
  <si>
    <t>марки У-30М, ГОСТ 13489-79</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</si>
  <si>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</si>
  <si>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</si>
  <si>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Комплект</t>
  </si>
  <si>
    <t>25.73.20.00.00.10.21.10.1</t>
  </si>
  <si>
    <t>по дереву</t>
  </si>
  <si>
    <t>23.14.11.00.00.11.13.50.2</t>
  </si>
  <si>
    <t>Лента</t>
  </si>
  <si>
    <t>ЛЭС 0,15*30 ГОСТ 5937-81.   Лента электроизоляционная из Стекловолокна марки ЛЭС толщиной 0,15 мм, шириной 30 мм.</t>
  </si>
  <si>
    <t>Штука</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</si>
  <si>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</si>
  <si>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</si>
  <si>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25.73.10.00.00.10.10.12.1, 25.73.10.00.00.10.10.14.1</t>
  </si>
  <si>
    <t>Лопаты копальные остроконечные (штыковые), Лопаты подборочные (совковые)</t>
  </si>
  <si>
    <t>25.94.11.00.00.11.11.10.1</t>
  </si>
  <si>
    <t>Шурупы (кроме шурупов с квадратной головкой) из черных металлов</t>
  </si>
  <si>
    <t>Килограмм</t>
  </si>
  <si>
    <t>27.40.15.00.00.10.20.24.1</t>
  </si>
  <si>
    <t>Лампы люминесцентные</t>
  </si>
  <si>
    <t>Лампа люминесцентная, тип цоколя G24-d-2, мощность 22 Ватт</t>
  </si>
  <si>
    <t>27.32.13.00.02.01.27.01.1</t>
  </si>
  <si>
    <t>20.52.10.00.00.00.09.06.1</t>
  </si>
  <si>
    <t>На основе этилцианакрилата для склеивания в любых сочетаниях фарфор, керамику, дерево, кожу, резину,металл, пробку,картон, большинство пластиков</t>
  </si>
  <si>
    <t>26.11.22.00.00.24.11.15.1</t>
  </si>
  <si>
    <t>для трубчатых люминесцентных ламп, тип - 80С-220, ГОСТ 8799-90</t>
  </si>
  <si>
    <t>32.91.11.00.00.00.12.10.1</t>
  </si>
  <si>
    <t>Из материалов растительного происхождения</t>
  </si>
  <si>
    <t>25.94.13.00.00.10.44.10.1</t>
  </si>
  <si>
    <t>Инструмент</t>
  </si>
  <si>
    <t>28.22.18.00.00.10.10.06.1</t>
  </si>
  <si>
    <t>Тележка гидравлическая</t>
  </si>
  <si>
    <t>28.22.18.00.00.10.10.02.1</t>
  </si>
  <si>
    <t>25.72.11.00.00.12.14.10.1</t>
  </si>
  <si>
    <t>Замки врезные</t>
  </si>
  <si>
    <t>Рулон</t>
  </si>
  <si>
    <t>Клей канцелярский - карандаш</t>
  </si>
  <si>
    <t>22.29.25.00.00.00.19.14.1</t>
  </si>
  <si>
    <t xml:space="preserve"> Маркер пластиковый перманентный (нестираемый), скошенный наконечник 1-5мм</t>
  </si>
  <si>
    <t>22.29.25.00.00.00.13.11.1</t>
  </si>
  <si>
    <t>Органайзер пластиковый настольный круглый, от 10 до 15 предметов</t>
  </si>
  <si>
    <t>22.29.25.00.00.00.27.10.1</t>
  </si>
  <si>
    <t>Файл - вкладыш</t>
  </si>
  <si>
    <t>17.23.13.60.00.00.00.20.1</t>
  </si>
  <si>
    <t>Архивная папка для формата А4., 320x230x40мм, формат А4</t>
  </si>
  <si>
    <t>32.99.80.00.00.00.00.11.1</t>
  </si>
  <si>
    <t>узкий, до 3 см</t>
  </si>
  <si>
    <t>32.99.81.00.00.10.10.11.1</t>
  </si>
  <si>
    <t>с кисточкой</t>
  </si>
  <si>
    <t>22.29.25.00.00.00.20.10.1</t>
  </si>
  <si>
    <t>32.99.15.00.00.00.11.30.1</t>
  </si>
  <si>
    <t>Карандаши черные с твердо-мягким грифелем</t>
  </si>
  <si>
    <t>17.23.12.30.00.00.00.35.1</t>
  </si>
  <si>
    <t>с липким краем, размер 76х76 мм</t>
  </si>
  <si>
    <t>17.23.12.10.00.00.00.30.1</t>
  </si>
  <si>
    <t>формат C65 (114 х 229 мм)</t>
  </si>
  <si>
    <t>25.99.23.00.00.11.10.10.1</t>
  </si>
  <si>
    <t>26.80.12.00.00.00.13.50.1</t>
  </si>
  <si>
    <t>Емкость - 700 мб, записываемый (многократно), в упаковке 100 штук</t>
  </si>
  <si>
    <t>Доска</t>
  </si>
  <si>
    <t>632800000</t>
  </si>
  <si>
    <t>43.22.12.20.13.00.00</t>
  </si>
  <si>
    <t>Услуги по техническому обслуживанию системы вентиляции и кондиционирования</t>
  </si>
  <si>
    <t>Услуги по благоустройству, пейзажному планированию</t>
  </si>
  <si>
    <t>июль</t>
  </si>
  <si>
    <t>август</t>
  </si>
  <si>
    <t>73.11.11.10.00.00.00</t>
  </si>
  <si>
    <t>Услуги по созданию и размещению рекламы в средствах массовой информации</t>
  </si>
  <si>
    <t>68.20.12.00.00.00.01</t>
  </si>
  <si>
    <t>Услуги по аренде офисных помещений</t>
  </si>
  <si>
    <t>Услуги телефонной связи</t>
  </si>
  <si>
    <t>Прочие виды деятельности информационных служб.</t>
  </si>
  <si>
    <t>53.10.11.40.10.00.00</t>
  </si>
  <si>
    <t>52.21.29.20.00.00.00</t>
  </si>
  <si>
    <t>Услуги вспомогательные для автомобильного транспорта прочие</t>
  </si>
  <si>
    <t>Услуги образовательные вспомогательные прочие</t>
  </si>
  <si>
    <t>01</t>
  </si>
  <si>
    <t>Товар</t>
  </si>
  <si>
    <t>31.01.12.00.00.02.01.23.1</t>
  </si>
  <si>
    <t xml:space="preserve"> ДСП жасалынған жұмыс үстелі.  Габариты (ені/ұзындығы 600/850мм-ден 600/1100мм  дейін. Столешницаның жуандығы  15-30мм, ПВХ 2-4мм.</t>
  </si>
  <si>
    <t>Стол приставной. ДСП. Прямоугольный. Габариты (ширина/длина) от 600/850мм до 600/1100мм. Толщина столешницы 15-30мм, ПВХ 2-4мм.</t>
  </si>
  <si>
    <t>471000000</t>
  </si>
  <si>
    <t>31.01.12.00.00.03.01.03.1</t>
  </si>
  <si>
    <t>ЛДСП жасалынған құжаттарға арналған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</si>
  <si>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</si>
  <si>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31.01.12.00.00.03.01.04.1</t>
  </si>
  <si>
    <t>Шкаф</t>
  </si>
  <si>
    <t>ЛДСП жасалынған шкаф. Негізгі қаңқасы орташа тартылған сөрелерден, жоғарғы бөлігінде есіктері шөлмектен жасалған,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</si>
  <si>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3шт в верхней части.</t>
  </si>
  <si>
    <t>31.01.12.00.00.03.02.02.1</t>
  </si>
  <si>
    <t>ДСП жасалынған шкаф сырт киімге арналған , жоғарғы бөлігінде бас киімге арналған сөрелерден тұрады, биіктігі сөренің  35 см,желімсіз жинақталған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</si>
  <si>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</si>
  <si>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25.99.21.00.00.10.11.10.1</t>
  </si>
  <si>
    <t>Құжаттарды сақтауға арналған файлды металл сейф</t>
  </si>
  <si>
    <t>Металлический файловый, для хранения документов</t>
  </si>
  <si>
    <t>31.01.12.00.00.02.01.07.1</t>
  </si>
  <si>
    <t>Үстел</t>
  </si>
  <si>
    <t xml:space="preserve">Стол </t>
  </si>
  <si>
    <t xml:space="preserve"> 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</si>
  <si>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</si>
  <si>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31.01.12.00.00.03.04.04.1</t>
  </si>
  <si>
    <t xml:space="preserve"> Кеңсе тауарларға арналған 3 сөреден  жасалынған тумба, 1 сөре кілтті.</t>
  </si>
  <si>
    <t>1 выдвижная полка для канцелярских принадлежностей, 3 выдвижных ящика, один с замком</t>
  </si>
  <si>
    <t>31.02.10.00.00.01.02.03.1</t>
  </si>
  <si>
    <t xml:space="preserve"> ЛДСП жасалынған ашылмалы жұмыс үстелі.  </t>
  </si>
  <si>
    <t xml:space="preserve">Стол-книжка раскладной. Материал ЛДСП. </t>
  </si>
  <si>
    <t>31.00.12.00.00.01.02.03.1</t>
  </si>
  <si>
    <t>Орындық ашылмалы</t>
  </si>
  <si>
    <t xml:space="preserve"> Орындық ашылмалы , ағаштан жасалынған, отырғышы жасанды былғарыдан</t>
  </si>
  <si>
    <t>Стул складной деревянный с сиденьем из кожезаменителя.</t>
  </si>
  <si>
    <t>31.01.11.00.00.00.07.02.1</t>
  </si>
  <si>
    <t>Орындық</t>
  </si>
  <si>
    <t>Гобеленнен тігілген орындық. Хромдалған металл аяғы бар.Шынтаққойғышы жоқ</t>
  </si>
  <si>
    <t>Стул из гобелана. Хромированные металлические ножки. Безподлокотников.</t>
  </si>
  <si>
    <t>31.00.13.00.00.01.08.02.1</t>
  </si>
  <si>
    <t>Кресло</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</si>
  <si>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</si>
  <si>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</si>
  <si>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Конференц залға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</si>
  <si>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для конферен зала с подголовником, спинка пластиковая, обивка тканевая, снабжено поворотно подъемным механизмом. Подлокотники пластиковые</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</si>
  <si>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</si>
  <si>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</si>
  <si>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</si>
  <si>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</si>
  <si>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28.25.12.00.00.00.16.11.1</t>
  </si>
  <si>
    <t>Жерге орнатуға , үлкен көлемді бөлмеге арналған салқындатқыш</t>
  </si>
  <si>
    <t>кондиционер бытовой напольный  с холодопроизводительностью 1400 Вт,охлаждение больших пространств.</t>
  </si>
  <si>
    <t>25 шаршы м.-ге сплит жүйе салқындатқыш</t>
  </si>
  <si>
    <t>кондиционер бытовой , охлаждение рекомендуемой площади до 25 м2,  мощность охлажления ,КВт 2,подключение 220</t>
  </si>
  <si>
    <t>31.01.11.00.00.00.06.02.1</t>
  </si>
  <si>
    <t>Стеллаж с 5-ю полками, металлический. Допустимая нагрузка на одну полку - до 100 кг, на секцию до 500 кг.</t>
  </si>
  <si>
    <t xml:space="preserve">19.20.26.00.00.00.00.20.1, 19.20.26.00.00.00.00.10.1 </t>
  </si>
  <si>
    <t>с даты подписания договора по 31.12.2014г.</t>
  </si>
  <si>
    <t>Желім</t>
  </si>
  <si>
    <t xml:space="preserve"> Маркер пластиковый перманентный, скошенный наконечник 1-5мм</t>
  </si>
  <si>
    <t xml:space="preserve">Принадлежности канцелярские и школьные из пластмас-спрочие, не включенные в другие группировки </t>
  </si>
  <si>
    <t xml:space="preserve">Ручка пластиковая шариковая, гелевая </t>
  </si>
  <si>
    <t>формат C5 (162 х 229 мм)</t>
  </si>
  <si>
    <t>Зажимы для бумаг</t>
  </si>
  <si>
    <t>32.99.16.00.00.00.12.11.1</t>
  </si>
  <si>
    <t>Доска маркерно-магнитная</t>
  </si>
  <si>
    <t>18.12.19.32.00.00.00</t>
  </si>
  <si>
    <t>Услуги полиграфические по печатанию различных бланков</t>
  </si>
  <si>
    <t>Кеңсе жайларын жалдау бойынша қызметер</t>
  </si>
  <si>
    <t>471810000</t>
  </si>
  <si>
    <t>Шет жерде қызмет көрсету қызметтері (кейтеринг)</t>
  </si>
  <si>
    <t>кофе-брейк ұйымдастыру және өткізу</t>
  </si>
  <si>
    <t>Автомобиль көлігі үшін өзге қосалқы қызметтер</t>
  </si>
  <si>
    <t xml:space="preserve">Услуги консультационные по вопросам предпринимательства </t>
  </si>
  <si>
    <t xml:space="preserve">Заңды қызмет атқару және бизнестің құзырлығының бойынша консультациялық қызметтері </t>
  </si>
  <si>
    <t xml:space="preserve">Маркетинг сұрақтарының және бизнес - жоспарлар бойынша консультациялық қызметтері </t>
  </si>
  <si>
    <t>31.00.13.00.00.01.08.09.1</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</si>
  <si>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</si>
  <si>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</si>
  <si>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 xml:space="preserve">Қызметкерлерге арналған кресло </t>
  </si>
  <si>
    <t>191000000</t>
  </si>
  <si>
    <t>31.00.13.00.00.01.09.13.1</t>
  </si>
  <si>
    <t>Ауыстырушылық теріден жасалған кресло. Шынтақша және полозья хромировандік бақыр.</t>
  </si>
  <si>
    <t>Кресло из кожезаменителя. Подлокотники и полозья хромированные металлические.</t>
  </si>
  <si>
    <t>Келішулерге арналған кресло</t>
  </si>
  <si>
    <t>31.01.12.00.00.03.01.10.1</t>
  </si>
  <si>
    <t>Сөрелері бар шкаф: 3 сөре, 2 ашылатын есік, ЛДСП материал</t>
  </si>
  <si>
    <t>Шкаф с стеллажами: 3 полки, 2 двери створчатые. Материал ЛДСП.</t>
  </si>
  <si>
    <t>Стеллаж</t>
  </si>
  <si>
    <t>Металдан жасалынған 5 сөрелі стеллаж. Бір сөреге рұқсат етілген жүктеме- 100 кг дейін, секцияға 500 кг. Дейін</t>
  </si>
  <si>
    <t>31.01.12.00.00.02.01.06.1</t>
  </si>
  <si>
    <t>Жұмыс столы ЛДСП. Көлемдері (ұзындығы/ені)  650/1301мм. ден 650/1400 мм. Дейін. Қалыңдығы столешница 15-30мм, ПВХ 2-4мм</t>
  </si>
  <si>
    <t>Стол ЛДСП рабочий. Габариты (ширина/длина) от 650/1301мм до 650/1400мм. Толщина столешницы 15-30мм, ПВХ 2-4мм.</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</si>
  <si>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</si>
  <si>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22.21.21.00.00.40.10.10.1</t>
  </si>
  <si>
    <t>Майысқақ келтіруші</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</si>
  <si>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</si>
  <si>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</si>
  <si>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22.21.21.00.00.20.50.11.1</t>
  </si>
  <si>
    <t>Труба фановая  110 мм, 90 град</t>
  </si>
  <si>
    <t>28.14.12.10.00.00.00.01.1</t>
  </si>
  <si>
    <t>Қоспалауыш</t>
  </si>
  <si>
    <t>Қоспалауыш-кран қолжұгыш үшін екіқолды орталық сыртқы су құю аэраторымен  ГОСТ 25809-96</t>
  </si>
  <si>
    <t>кран - смеситель для умывальника и мойки двухрукояточный центральный набортный, излив с аэратором ГОСТ 25809-96</t>
  </si>
  <si>
    <t>Силиконды герметик</t>
  </si>
  <si>
    <t>У-30М, ГОСТ 13489-79 маркалы</t>
  </si>
  <si>
    <t>Тескіш шуруповерт</t>
  </si>
  <si>
    <t>Қолды электрикалық сайман, аккумуляторлы. Шуруптарды винттарды кіргізу шығару және тесу үшін арналған</t>
  </si>
  <si>
    <t>ағашқа арналған ара</t>
  </si>
  <si>
    <t>Электроизоляциялық таспа</t>
  </si>
  <si>
    <t>шыны жіптерден</t>
  </si>
  <si>
    <t>Тырма</t>
  </si>
  <si>
    <t xml:space="preserve">борпылдақ- жердің кесегінің сиректету, жаман-жұмандар шөп-шалаң шөптің қазулы түптерінен тазарту,  өсімдіктің қатар-қатар арасында жеңіл қопсыту </t>
  </si>
  <si>
    <t>25.73.10.00.00.10.11.14.1</t>
  </si>
  <si>
    <t>Шұнғыл күрек сабымен</t>
  </si>
  <si>
    <t>Лопата совковая с черенком</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</si>
  <si>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</si>
  <si>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</si>
  <si>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</si>
  <si>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</si>
  <si>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27.32.13.00.02.03.10.02.1</t>
  </si>
  <si>
    <t>КГВВ 3*2,5</t>
  </si>
  <si>
    <t>Стартер типа СТ</t>
  </si>
  <si>
    <t>Сібіртке</t>
  </si>
  <si>
    <t>құлыптың өзегі</t>
  </si>
  <si>
    <t>Прочие, не включенные в другие группировки</t>
  </si>
  <si>
    <t>Жүк таситын арба</t>
  </si>
  <si>
    <t>200-250 кг жүк таситын екідөнгелекті қолды арба</t>
  </si>
  <si>
    <t>А4 форматты калындығы 80г/м2, 21х29,5 см</t>
  </si>
  <si>
    <t>Факс қағазы</t>
  </si>
  <si>
    <t>Факске, факстік роликтер ақ қалындығы 80г/кв.м, салмақ 1кв.м 80г, ені 210мм, диаметр 800мм, температура 18-25С</t>
  </si>
  <si>
    <t>Стикерлер</t>
  </si>
  <si>
    <t>Беллгілер үшін, жабыспақ шетімен</t>
  </si>
  <si>
    <t>20.52.10.00.00.00.09.06.3</t>
  </si>
  <si>
    <t>Басқа топтамаға қосылмаған кенселік және мектептік пластмасс заттар</t>
  </si>
  <si>
    <t>Мұрағаттық папка формат А4 үшін, 320x230x40мм, формат А4</t>
  </si>
  <si>
    <t>Гелдік, шарикті пластикалық қалам</t>
  </si>
  <si>
    <t>Конверттер</t>
  </si>
  <si>
    <t>қағаз үшін қыспа</t>
  </si>
  <si>
    <t>Көлемі - 700 мб, көп жазбалы, қорапта 100 дана</t>
  </si>
  <si>
    <t xml:space="preserve">Ысқыш маркерлік тақта үшін </t>
  </si>
  <si>
    <t>95.11.10.15.10.00.00</t>
  </si>
  <si>
    <t>Услуги по замене комплектующих частей принтера</t>
  </si>
  <si>
    <t>Услуги по замене картриджа и прочих комплектующих принтера</t>
  </si>
  <si>
    <t>45.20.11.20.10.00.00</t>
  </si>
  <si>
    <t>Услуги по техническому обслуживанию моторной части автомобилей и средств автотранспортных легковых</t>
  </si>
  <si>
    <t>Диагностика моторной части автомобилей и средств автотранспортных легковых</t>
  </si>
  <si>
    <t>Общая уборка зданий</t>
  </si>
  <si>
    <t>33.12.18.16.00.00.00</t>
  </si>
  <si>
    <t>ауа шығаратын вентляциияылқ автоматикасын және жабдықтарын сервистік қызмет көрсету</t>
  </si>
  <si>
    <t xml:space="preserve">Сервисное обслуживание  оборудований и автоматики приточно-вытяжной вентиляции </t>
  </si>
  <si>
    <t>81.30.10.11.00.00.00</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</si>
  <si>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</si>
  <si>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</si>
  <si>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Рассаживание, обработка и обслуживание:общественных и полуобщественных зданий (школ, больниц, административных зданий, церквей)</t>
  </si>
  <si>
    <t>18.12.19.17.00.00.00</t>
  </si>
  <si>
    <t xml:space="preserve">Услуги по изготовлению и печатанию наглядной агитации </t>
  </si>
  <si>
    <t>декабрь</t>
  </si>
  <si>
    <t>Бұқаралық ақпарат құралдары арқылы жарнама жібері және оны дайындау қызметтері</t>
  </si>
  <si>
    <t>35.30.22.11.00.00.00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</si>
  <si>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</si>
  <si>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</si>
  <si>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31.01.12.00.00.02.01.19.1</t>
  </si>
  <si>
    <t>Стол угловой. 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</si>
  <si>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ДСП жасалынған жұмыс үстелі.  Габариты (ені/ұзындығы) 651/1401мм-ден 700/1500мм дейін. Столешницаның жуандығы 15-30мм, ПВХ 2-4мм.</t>
  </si>
  <si>
    <t xml:space="preserve">Шкаф </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</si>
  <si>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</si>
  <si>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</si>
  <si>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</si>
  <si>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</si>
  <si>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</si>
  <si>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31.00.13.00.00.01.02.05.1</t>
  </si>
  <si>
    <t xml:space="preserve">Кресла </t>
  </si>
  <si>
    <t>Кресло мягкое тканевое с металлическими ножками</t>
  </si>
  <si>
    <t>28.25.12.00.00.00.23.11.1</t>
  </si>
  <si>
    <t>Кондииционер</t>
  </si>
  <si>
    <t>Кондиционер сплит система на 25кв.м. (для планируемых к сдаче в аренду помещений на 2, 3 этаже)</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</si>
  <si>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</si>
  <si>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23.14.11.00.00.11.13.50.1</t>
  </si>
  <si>
    <t>марка ЛЭС 0,15*30 ГОСТ 5937-81</t>
  </si>
  <si>
    <t>25.73.10.00.00.10.10.12.1</t>
  </si>
  <si>
    <t>27.32.13.00.02.03.01.05.1</t>
  </si>
  <si>
    <t>АКВВГ 14*2,5</t>
  </si>
  <si>
    <t>Для трубчатых люминесцентных ламп, тип-80С-220, ГОСТ 8799-90</t>
  </si>
  <si>
    <t>Ручная, грузоподьемностью до 800 кг.</t>
  </si>
  <si>
    <t>20.52.10.00.00.00.09.01.1</t>
  </si>
  <si>
    <t>22.29.25.00.00.00.19.16.1</t>
  </si>
  <si>
    <t xml:space="preserve"> Маркер пластиковый перманентный (нестираемый), круглый наконечник 1,5мм</t>
  </si>
  <si>
    <t>25.99.23.00.00.11.11.12.1</t>
  </si>
  <si>
    <t>Скрепки для бумаг. Размер 26 мм</t>
  </si>
  <si>
    <t>32.99.12.00.00.00.11.30.1</t>
  </si>
  <si>
    <t>Ручка шариковая со сменными стержнями (баллончиками)</t>
  </si>
  <si>
    <t>17.23.12.10.00.00.00.40.1</t>
  </si>
  <si>
    <t>551000000</t>
  </si>
  <si>
    <t>96.09.19.90.00.00.00</t>
  </si>
  <si>
    <t>Услуги и работы различные прочие, не включенные в другие группировки</t>
  </si>
  <si>
    <t xml:space="preserve"> Кәсіпкерліктің мемлекеттік сүйенішінің аспаптарына,  қордың бағдарламалары бойынша кеңестер</t>
  </si>
  <si>
    <t>Услуги консультационные по вопросам предпринимательства (ЦОП)</t>
  </si>
  <si>
    <t>Мемлекеттік сатып алу және сатып алу ұлттық компаниялар жөнінде кеңестер</t>
  </si>
  <si>
    <t xml:space="preserve">Консультации  по  гос. закупкам, закупками нац. компаний и недропользователей </t>
  </si>
  <si>
    <t>Одна пачка</t>
  </si>
  <si>
    <t>22.29.25.00.00.00.23.13.1</t>
  </si>
  <si>
    <t>17.12.14.70.00.00.00.10.2</t>
  </si>
  <si>
    <t>для флипчарта</t>
  </si>
  <si>
    <t>Услуги по техническому обслуживанию и ремонту машин и оборудования офисных.</t>
  </si>
  <si>
    <t>Одна услуга</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</si>
  <si>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</si>
  <si>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</si>
  <si>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</si>
  <si>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35.14.10.12.00.00.00</t>
  </si>
  <si>
    <t>Услуги посредников и агентов по продаже электроэнергии, произведенной другими единицами, по энергораспределительным сетя</t>
  </si>
  <si>
    <t>Услуги посредников и агентов по продаже электроэнергии, произведенной другими единицами, по энергораспределительным сетям</t>
  </si>
  <si>
    <t>53.10.11.30.10.00.00</t>
  </si>
  <si>
    <t>82.11.10.10.00.00.00</t>
  </si>
  <si>
    <t>Услуги комплексные офисные административные</t>
  </si>
  <si>
    <t>Предоставление комплекса ежедневных офисных административных услуг (получение корреспонденции, финансовое планирование, выставление счетов на оплату, услуги в отношении персонала и постовые услуги) на договорной основе или на основе регулярных выплат</t>
  </si>
  <si>
    <t>391000000</t>
  </si>
  <si>
    <t>22.29.25.00.00.00.19.17.2</t>
  </si>
  <si>
    <t>22.29.25.00.00.00.13.34.1</t>
  </si>
  <si>
    <t>17.21.15.20.00.00.00.10.1</t>
  </si>
  <si>
    <t>25.99.23.00.00.11.11.16.1</t>
  </si>
  <si>
    <t>Скрепки для бумаг. Размер 32 мм</t>
  </si>
  <si>
    <t>32.99.12.00.00.00.11.40.1</t>
  </si>
  <si>
    <t>Ручка шариковая с логотипом</t>
  </si>
  <si>
    <t>61.10.11.02.01.00.00</t>
  </si>
  <si>
    <t>Услуги междугородней телефонной связи</t>
  </si>
  <si>
    <t>Услуги междугородней телефонной связи  - доступ и пользование</t>
  </si>
  <si>
    <t>52.21.29.11.00.00.00</t>
  </si>
  <si>
    <t>69.20.23.11.00.00.00</t>
  </si>
  <si>
    <t>Консультационные услуги в области бухгалтерского учета</t>
  </si>
  <si>
    <t>март-апрель</t>
  </si>
  <si>
    <t>Файл-вкладыш</t>
  </si>
  <si>
    <t>02</t>
  </si>
  <si>
    <t>82.30.11.14.00.00.00</t>
  </si>
  <si>
    <t>Услуги по организации корпоративных мероприятий</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</si>
  <si>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</si>
  <si>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31.01.12.00.00.03.04.03.1</t>
  </si>
  <si>
    <t xml:space="preserve">Тумба мобильная с задвижками. Тумба (ШxГxВ) до 50x45x50см, с тремя выдвижными ящиками, на четырех колесиках из ламинированной ДСП толщиной до 16мм. </t>
  </si>
  <si>
    <t>31.00.13.00.00.01.02.08.1</t>
  </si>
  <si>
    <t>31.00.13.00.00.01.08.04.1</t>
  </si>
  <si>
    <t>Офисное кресло из кожезаменителя. Ножки и подлокотники деревянные.Снабжено поворотно подъемным механизмом.</t>
  </si>
  <si>
    <t>31.01.11.00.00.00.07.13.1</t>
  </si>
  <si>
    <t>Стул из кожезаменителя. Черные металлические ножки. Стул без подлокотников.</t>
  </si>
  <si>
    <t>25.99.11.00.00.19.10.10.1</t>
  </si>
  <si>
    <t>Смеситель для мойки</t>
  </si>
  <si>
    <t>32.91.19.00.00.00.20.10.1</t>
  </si>
  <si>
    <t>типа ВМП - валик с меховым покрытием, предназначенный для окраски полов лакокрасочным составом, ГОСТ 10831-87</t>
  </si>
  <si>
    <t>25.73.10.00.00.10.10.19.1</t>
  </si>
  <si>
    <t>Лопаты металлургические</t>
  </si>
  <si>
    <t>27.40.15.00.00.10.50.42.1</t>
  </si>
  <si>
    <t>Лампа люминесцентная, тип цоколя G13, мощность 80 Ватт</t>
  </si>
  <si>
    <t>27.32.13.00.02.02.21.01.1</t>
  </si>
  <si>
    <t>KX-A228XJ(KX-TA228XJ)  - для подключения питания</t>
  </si>
  <si>
    <t>27.40.42.00.00.00.02.09.1</t>
  </si>
  <si>
    <t>мощность люминесцентной лампы 100/115/140 Вт</t>
  </si>
  <si>
    <t>25.99.21.00.00.12.10.10.1</t>
  </si>
  <si>
    <t>Ключевые (сувальдные, обладают большей надежностью)</t>
  </si>
  <si>
    <t>18.13.30.14.00.00.00</t>
  </si>
  <si>
    <t xml:space="preserve">Услуги по разработке, изготовлению, подготовке набора, печатанию  рекламных каталогов, проспектов, постеров и продукции рекламной прочей </t>
  </si>
  <si>
    <t>Услуги по подписке на газеты, журналы и другие периодические издания</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</si>
  <si>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</si>
  <si>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80.10.12.13.00.00.00</t>
  </si>
  <si>
    <t>Өндірістік ғимараттарды қорғау қызметтері</t>
  </si>
  <si>
    <t>Услуги по охране объектов производственных зданий</t>
  </si>
  <si>
    <t>Охрана объектов производственных зданий</t>
  </si>
  <si>
    <t>69.10.19.10.00.00.00</t>
  </si>
  <si>
    <t>Услуги юридические, связанные с подготовкой и оформлением документов</t>
  </si>
  <si>
    <t>31.01.12.00.00.02.01.12.1</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</si>
  <si>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</si>
  <si>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</si>
  <si>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Кресло </t>
  </si>
  <si>
    <t>31.01.12.00.00.02.06.01.1</t>
  </si>
  <si>
    <t xml:space="preserve"> конференц залға арнлаған стол</t>
  </si>
  <si>
    <t>стол для конференц зала</t>
  </si>
  <si>
    <t>31.09.12.00.00.01.01.13.1</t>
  </si>
  <si>
    <t>Былғарыдан тігілген диван, аяқтары- хромдалған металл, ашылмайтын. Қаңқасы ағаштан.</t>
  </si>
  <si>
    <t>Диван кожанный; ножки – металлические хромированные; нераскладной. Каркас деревянный.</t>
  </si>
  <si>
    <t>Былғарыдан тігілген кеңсе креслосы</t>
  </si>
  <si>
    <t>Офисное кресло кожаное на колесиках</t>
  </si>
  <si>
    <t>Мобильдік тіреу сырмаларымен. Тіреу 50х45х50см дейін, үш сырмаларымен, төрт дөңгелекте қалыңдығы 16 мм дейін ламинатталған ДСПдан</t>
  </si>
  <si>
    <t>31.00.13.00.00.01.08.27.1</t>
  </si>
  <si>
    <t>Былғары кресло. Шынтақсүйегіші мен аяқтары ағаштан. Пневматикалық отырғышын көтеретін механизмімен</t>
  </si>
  <si>
    <t>Кресло кожанное. Подлокотники и ножки деревянные. Спинка короткая. Кресло снабжено пневматическим механизмом подъёма сидения.</t>
  </si>
  <si>
    <t>31.00.13.00.00.01.08.26.1</t>
  </si>
  <si>
    <t>Былғары кресло. Аяқтары хромдалған темірден. Шынтақсүйегіші хромдалған темірден шынтақ астына жұмсақ былғары. Отырғышын көтеретін пневматикалық  механизмімен жабдықталған.</t>
  </si>
  <si>
    <t>Кресло кожанное. Ножки металлические хромированные. Подлокотники металлические хромированные с кожанным мягким вставками под локти| снабжено пневматическим механизмом подъёма сидения.</t>
  </si>
  <si>
    <t>31.01.12.00.00.02.02.17.1</t>
  </si>
  <si>
    <t>ДСП стол. Арты ағаш панель. Клавиатураға арналған суырма сөре. Габариты(ұзындығы/ені/биіктігі мм) до 1200/800/800 дейін. Аяқтары темір. Столешница қалыңдығы 15-30мм, ПВХ 2-4 мм.</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</si>
  <si>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2-4мм.</t>
  </si>
  <si>
    <t>25.99.21.00.00.10.10.10.1</t>
  </si>
  <si>
    <t>Жанбайтын темір шкаф</t>
  </si>
  <si>
    <t>Шкафы несгораемые металлические</t>
  </si>
  <si>
    <t>25.99.11.00.00.21.10.10.2</t>
  </si>
  <si>
    <t>смеситель для умывальника</t>
  </si>
  <si>
    <t>Үйінді сырлаушы</t>
  </si>
  <si>
    <t>23.14.11.00.00.11.13.20.2</t>
  </si>
  <si>
    <t>ЛЭС 0,15*15 ГОСТ 5937-81.   Лента электроизоляционная из Стекловолокна марки ЛЭС толщиной 0,15 мм, шириной 15 мм.</t>
  </si>
  <si>
    <t>27.40.21.00.00.11.10.10.1</t>
  </si>
  <si>
    <t>фонарь</t>
  </si>
  <si>
    <t>ГОСТ 4677-82, вид источника тока Б-с сухими электрохимическими элементами</t>
  </si>
  <si>
    <t>маркер</t>
  </si>
  <si>
    <t>Тақта</t>
  </si>
  <si>
    <t>Типографиялық қызметі</t>
  </si>
  <si>
    <t>Байланыс қызметі</t>
  </si>
  <si>
    <t>Пошта қызметі</t>
  </si>
  <si>
    <t>Услуги почты</t>
  </si>
  <si>
    <t>ел ішіндегі пошта қызметі</t>
  </si>
  <si>
    <t>Экспресс пошта қызметі</t>
  </si>
  <si>
    <t>Мерзімдік басылымдарға жазылу</t>
  </si>
  <si>
    <t>Подписка на периодические издания</t>
  </si>
  <si>
    <t>Газет, журнал, тағы да басқа мерзімдік басылымдарға жазылу</t>
  </si>
  <si>
    <t>Басқармашылық және ұйымдастырулық нұсқаушылығын қолдау, кәсіпкерлік  сұрақтары бойынша кеңесшілік қызметі</t>
  </si>
  <si>
    <t>151000000</t>
  </si>
  <si>
    <t>31.01.11.00.00.00.03.02.1</t>
  </si>
  <si>
    <t>Шкаф металлический бухгалтерский, сварная конструкция, сталь, 2 съемные полки, замок, полимерное покрытие.</t>
  </si>
  <si>
    <t>февраль-март</t>
  </si>
  <si>
    <t>январь-февраль</t>
  </si>
  <si>
    <t>кран-смеситель для умывальника и мойки двухрукояточный центральный наборный,излив с аэратором ГОСТ 25809-96</t>
  </si>
  <si>
    <t>25.73.10.00.00.10.10.22.1</t>
  </si>
  <si>
    <t>Лопаты снегоуборочные</t>
  </si>
  <si>
    <t>На основе этилцианакрилата для склеивания в любых сочетаниях фарфор,керамику,дерево,кожу,резину,металл,пробку,картон,большинство пластиков</t>
  </si>
  <si>
    <t>30.99.10.00.00.00.10.90.1</t>
  </si>
  <si>
    <t>Телега</t>
  </si>
  <si>
    <t>четырёхколёсная грузовая повозка.Грузоподъёмность около 750 кг. Собственный вес  250—300 кг, размеры — 2,5 х 1,5 м. Диаметр передних колёс обычно меньше, чем диаметр задних (60 — 70 см и 70 — 100 см соответственно).</t>
  </si>
  <si>
    <t>22.29.25.00.00.00.19.16.2</t>
  </si>
  <si>
    <t>22.29.25.00.00.00.13.24.1</t>
  </si>
  <si>
    <t>Органайзер пластиковый настольный круглый на вращающейся основе,  от 15 до 20 предметов</t>
  </si>
  <si>
    <t>25.99.23.00.00.11.11.17.1</t>
  </si>
  <si>
    <t>Скрепки для бумаг. Размер 33 мм</t>
  </si>
  <si>
    <t>62.02.30.10.20.00.00</t>
  </si>
  <si>
    <t>Услуги по техническому обслуживанию и ремонту вычислительной техники</t>
  </si>
  <si>
    <t>45.20.30.10.10.00.00</t>
  </si>
  <si>
    <t xml:space="preserve">Услуги по печатанию рекламных каталогов, проспектов, постеров и продукции рекламной прочей </t>
  </si>
  <si>
    <t>65.12.21.10.00.00.02</t>
  </si>
  <si>
    <t>Услуги по страхованию (добровольному) автотранспорта</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</si>
  <si>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</si>
  <si>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71.11.24.10.00.00.00</t>
  </si>
  <si>
    <t>Услуги консультационные в области архитектуры</t>
  </si>
  <si>
    <t xml:space="preserve">Услуги консультационные в области архитектуры </t>
  </si>
  <si>
    <t>29.10.23.00.00.00.60.23.1</t>
  </si>
  <si>
    <t>Автомобиль легковой</t>
  </si>
  <si>
    <t>Класса Е, представительский класс, трансмиссия - АКПП не менее 5-ти ступеней. Не менее 6-ти подушек безопасности,ABS,SRS,ГУР,ПЭП, усилитель экстренного торможения, декор.отделка элементов интерьера вставками «под дерево», климат контроль,регулировка руля по углу наклона, мультифункц.руль</t>
  </si>
  <si>
    <t>в течение 45 календарных дней с даты подписания договора</t>
  </si>
  <si>
    <t>26.70.13.00.00.00.22.80.1</t>
  </si>
  <si>
    <t>Камера цифровая</t>
  </si>
  <si>
    <t>Со сменной оптикой. Дальномерные. Число эффективных пикселов: от 22 млн и более.</t>
  </si>
  <si>
    <t>в течение 10 календарных дней с даты подписания договора</t>
  </si>
  <si>
    <t>28.25.12.00.00.00.14.10.1</t>
  </si>
  <si>
    <t>25.99.29.00.01.13.10.10.1</t>
  </si>
  <si>
    <t>ГОСТ 23405-78, тип 1, условный проход 4 мм, номинальное давление 35 Мпа</t>
  </si>
  <si>
    <t>32.91.12.00.00.00.14.10.1</t>
  </si>
  <si>
    <t>Кисть малярная</t>
  </si>
  <si>
    <t>кисть-ручник, предназначена для грунтовки и окраски поверхностей</t>
  </si>
  <si>
    <t>25.73.30.00.00.19.10.13.1</t>
  </si>
  <si>
    <t>Бур</t>
  </si>
  <si>
    <t>ГОСТ 17016-71, БД1 для бурения отверстий диаметром 22 мм, длина 160 мм</t>
  </si>
  <si>
    <t>25.94.13.00.00.10.41.10.1</t>
  </si>
  <si>
    <t>Набор сверл</t>
  </si>
  <si>
    <t>23.91.11.00.00.00.35.10.1</t>
  </si>
  <si>
    <t>Круг отрезной</t>
  </si>
  <si>
    <t>Круг отрезной, ГОСТ 21963-02</t>
  </si>
  <si>
    <t>22.21.29.00.00.33.40.10.1</t>
  </si>
  <si>
    <t>насадка</t>
  </si>
  <si>
    <t>25.73.30.00.00.14.11.10.1</t>
  </si>
  <si>
    <t>Комбинированные</t>
  </si>
  <si>
    <t>25.94.13.00.00.10.37.10.1</t>
  </si>
  <si>
    <t>крестовая, плоская (стандартные размеры)</t>
  </si>
  <si>
    <t>13.99.19.00.00.00.20.12.1</t>
  </si>
  <si>
    <t>Лента поливинилхлоридная</t>
  </si>
  <si>
    <t>ГОСТ 16214-86. Работоспособна при t° от -30°С до +50°С в условиях неагрессивных сред.</t>
  </si>
  <si>
    <t>22.19.34.00.00.15.20.40.1</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</si>
  <si>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</si>
  <si>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25.94.11.00.00.11.10.10.1</t>
  </si>
  <si>
    <t>27.40.39.00.00.00.00.01.1</t>
  </si>
  <si>
    <t>Лампа светодиодная</t>
  </si>
  <si>
    <t>Применяется для обшего освещения, подсветки вывесов, рекламных щитов. Световой поток 880 лм, потребляемая мощность 13 ВТ. Срок службы 50000 ч.</t>
  </si>
  <si>
    <t>27.32.13.00.02.03.06.06.1</t>
  </si>
  <si>
    <t>КВВГ 4*6</t>
  </si>
  <si>
    <t>22.29.25.00.00.00.20.17.1</t>
  </si>
  <si>
    <t>22.29.29.00.00.00.50.10.2</t>
  </si>
  <si>
    <t>Карточка</t>
  </si>
  <si>
    <t>пластиковая</t>
  </si>
  <si>
    <t>27.12.40.18.11.11.11.10.1</t>
  </si>
  <si>
    <t>Пульт управления</t>
  </si>
  <si>
    <t>20.41.44.00.00.00.00.30.1</t>
  </si>
  <si>
    <t>Жидкость незамерзающая</t>
  </si>
  <si>
    <t xml:space="preserve">незамерзающая для омывателя </t>
  </si>
  <si>
    <t>20.59.42.00.00.20.30.10.2</t>
  </si>
  <si>
    <t>Антиобледенительная присадка</t>
  </si>
  <si>
    <t>получают на основе спиртов и добавляют в бензин для предотвращения образования льда в топливной системе</t>
  </si>
  <si>
    <t>19.20.21.00.00.00.11.60.1</t>
  </si>
  <si>
    <t>неэтилированный и этилированный, произведенный для двигателей с искровым зажиганием: АИ-95</t>
  </si>
  <si>
    <t xml:space="preserve">Скобы - №23/10 </t>
  </si>
  <si>
    <t>32.99.81.00.00.10.10.10.1</t>
  </si>
  <si>
    <t>Штрих-лента</t>
  </si>
  <si>
    <t>ленточный корректор в блистере с диспенсером</t>
  </si>
  <si>
    <t xml:space="preserve">Дырокол - 18 л. </t>
  </si>
  <si>
    <t>22.29.25.00.00.00.17.10.1</t>
  </si>
  <si>
    <t>Корзина для бумаг</t>
  </si>
  <si>
    <t>Корзина для бумаг, объем 10 л</t>
  </si>
  <si>
    <t>22.29.25.00.00.00.11.22.1</t>
  </si>
  <si>
    <t>Лоток</t>
  </si>
  <si>
    <t>Лоток для бумаг настольный</t>
  </si>
  <si>
    <t>27.20.11.00.00.00.07.10.2</t>
  </si>
  <si>
    <t>Батарейка</t>
  </si>
  <si>
    <t>Батарейка мизинчиковая типа АА</t>
  </si>
  <si>
    <t>22.29.25.00.00.00.27.11.2</t>
  </si>
  <si>
    <t>с перфорацией для документов, размер 170*215мм</t>
  </si>
  <si>
    <t>Калькулятор, 12 р.</t>
  </si>
  <si>
    <t>17.23.13.35.00.00.00.90.1</t>
  </si>
  <si>
    <t>Книги учета и регистрации</t>
  </si>
  <si>
    <t>Книги учета и регистрации прочие</t>
  </si>
  <si>
    <t>96 л. твердый переплет, в клетку</t>
  </si>
  <si>
    <t>17.23.12.10.00.00.00.50.1</t>
  </si>
  <si>
    <t>формат C4 (229 х 324 мм)</t>
  </si>
  <si>
    <t>17.23.12.10.00.00.00.10.1</t>
  </si>
  <si>
    <t>формат Евро, Е65 (110 х 220 мм)</t>
  </si>
  <si>
    <t>33.12.15.15.00.00.00</t>
  </si>
  <si>
    <t>Обследование грузоподъемных механизмов</t>
  </si>
  <si>
    <t>33.12.15.25.00.00.00</t>
  </si>
  <si>
    <t>Испытание подъемного оборудования</t>
  </si>
  <si>
    <t>Обследование и испытание подъемных агрегатов</t>
  </si>
  <si>
    <t>96.09.19.90.22.00.00</t>
  </si>
  <si>
    <t>Работы по ремонту и обслуживанию сейфов</t>
  </si>
  <si>
    <t>Вызов мастера, ремонт кодового устройства, раскодировка, установка и блокировка кода, изготовление ключа по замку, профилактика, вскрытие</t>
  </si>
  <si>
    <t>Услуги мойки автомашин</t>
  </si>
  <si>
    <t>Услуги по мойке служебных  машин</t>
  </si>
  <si>
    <t>25.61.12.10.00.00.00</t>
  </si>
  <si>
    <t>Услуги по нанесению покрытий неметаллических</t>
  </si>
  <si>
    <t>Нанесение пластмассовых покрытий, эмалирование, лакирование</t>
  </si>
  <si>
    <t>93.11.10.21.00.00.00</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</si>
  <si>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</si>
  <si>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</si>
  <si>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49.20.19.12.20.00.00</t>
  </si>
  <si>
    <t>Услуги железнодорожного транспорта по перевозкам грузов прочих, не включенных в другие группировки междугородные</t>
  </si>
  <si>
    <t>Перевозки междугородные по железной дороге грузов прочих, не включенных в другие группировки</t>
  </si>
  <si>
    <t>Услуги по перевозке грузов в регионы железнодорожным, воздушным и автомобильным транспортом</t>
  </si>
  <si>
    <t>96.09.19.21.10.00.00</t>
  </si>
  <si>
    <t>Услуги по эстетическому оформлению</t>
  </si>
  <si>
    <t>Праздничное оформление зданий и сооружений</t>
  </si>
  <si>
    <t>81.29.13.10.00.00.00</t>
  </si>
  <si>
    <t>Услуги по дератизации</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</si>
  <si>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</si>
  <si>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38.11.69.12.00.00.00</t>
  </si>
  <si>
    <t>Услуги по вывозу отходов оргтехники</t>
  </si>
  <si>
    <t>Выполнение операций по сбору, утилизации, размещению или удалению использованной оргтехники и комплектующих</t>
  </si>
  <si>
    <t>Корпоративтік іс-шаралар ұйымдастыру қызметтері</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</si>
  <si>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</si>
  <si>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</si>
  <si>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65.12.49.00.00.00.04</t>
  </si>
  <si>
    <t>Услуги по страхованию имущественному прочему</t>
  </si>
  <si>
    <t>74.90.12.20.13.00.00</t>
  </si>
  <si>
    <t>Услуги по оценке имущества</t>
  </si>
  <si>
    <t xml:space="preserve">Комплекс услуг по оценке имущества </t>
  </si>
  <si>
    <t>74.30.11.80.17.00.00</t>
  </si>
  <si>
    <t>Услуги по письменному переводу с других языков на другие языки</t>
  </si>
  <si>
    <t>Письменный перевод с других языков на другие языки</t>
  </si>
  <si>
    <t>Заң қызметтері</t>
  </si>
  <si>
    <t>Құжаттарды дайындау және рәсімдеумен байланысты заң қызметтері</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</si>
  <si>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</si>
  <si>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</si>
  <si>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</si>
  <si>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</si>
  <si>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</si>
  <si>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18.12.19.31.00.00.00</t>
  </si>
  <si>
    <t>Услуги по печатанию различных отчетов</t>
  </si>
  <si>
    <t>751110000</t>
  </si>
  <si>
    <t>26.20.18.00.03.13.12.11.1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</si>
  <si>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</si>
  <si>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600 dpi. </t>
  </si>
  <si>
    <t>Многофункиональное устройство</t>
  </si>
  <si>
    <t>26.20.11.00.00.01.12.20.1</t>
  </si>
  <si>
    <t>Ноутбук</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</si>
  <si>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</si>
  <si>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26.20.13.00.00.02.11.80.1</t>
  </si>
  <si>
    <t>Компьютер</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</si>
  <si>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</si>
  <si>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</si>
  <si>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</si>
  <si>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Ультрабук высокой производительности</t>
  </si>
  <si>
    <t>26.20.13.00.00.01.51.20.1</t>
  </si>
  <si>
    <t>Сервер</t>
  </si>
  <si>
    <t>Сетевой общего назначения, сверхплотный с горизонтальным масштабированием ресурсов (blade), Предназначен для формирования структурированного серверного пула с максимальной плотностью монтажа компонентов. Предполагает постановку в специальные корпуса-полки с централизованной системой сетевых коммуникаций, энергопитания, охлаждения и управления, которые вынесены и обобщены в корзине для уменьшения занимаемого пространства. Корзина (англ. enclosure) — шасси для блейд-серверов, предоставляющая им доступ к общим компонентам.</t>
  </si>
  <si>
    <t>26.20.21.01.20.00.00.01.1</t>
  </si>
  <si>
    <t>Система хранения данных</t>
  </si>
  <si>
    <t>сетевая, с использованием протокола iSCSI и технологии Fibre Channel</t>
  </si>
  <si>
    <t>26.20.21.01.16.12.10.09.1</t>
  </si>
  <si>
    <t>Ленточная библиотека</t>
  </si>
  <si>
    <t>накопитель типа LTO, число картриджей от 18 до 24</t>
  </si>
  <si>
    <t>26.20.15.00.00.01.11.12.1</t>
  </si>
  <si>
    <t>Клавиатура</t>
  </si>
  <si>
    <t>Промышленная</t>
  </si>
  <si>
    <t>26.30.23.00.00.00.08.02.1</t>
  </si>
  <si>
    <t>Мини-АТС</t>
  </si>
  <si>
    <t>виртуальные (IP-телефония),  ёмкостью 5-50 номеров</t>
  </si>
  <si>
    <t>Резервный сервер IP АТС Avaya S8300</t>
  </si>
  <si>
    <t>26.30.23.00.00.00.08.01.1</t>
  </si>
  <si>
    <t>виртуальные (IP-телефония),  емостью до 5 номеров</t>
  </si>
  <si>
    <t>Медиа шлюз + сервер IP АТС Avaya совместимый с S8300</t>
  </si>
  <si>
    <t>26.30.21.00.01.23.31.10.1</t>
  </si>
  <si>
    <t>Аппарат телефонный</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</si>
  <si>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</si>
  <si>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26.30.23.00.00.00.08.04.1</t>
  </si>
  <si>
    <t>виртуальные (IP-телефония),  емостью 150-5000 номеров</t>
  </si>
  <si>
    <t>26.30.21.00.02.14.11.30.1</t>
  </si>
  <si>
    <t>Маршрутизатор</t>
  </si>
  <si>
    <t>26.30.21.00.02.13.11.20.1</t>
  </si>
  <si>
    <t xml:space="preserve">Коммутатор сетевой (Switch) </t>
  </si>
  <si>
    <t>Микропроцессорный</t>
  </si>
  <si>
    <t>26.30.23.00.00.00.09.01.1</t>
  </si>
  <si>
    <t>Терминал видеоконференц-связи</t>
  </si>
  <si>
    <t>по любым типам сетей (LAN, MAN, WAN) с одним или более абонентами без использования компьютера, необходимое внешнее устройство отображения (монитор, проектор и т. д.)</t>
  </si>
  <si>
    <t>32.99.61.00.00.00.30.60.1</t>
  </si>
  <si>
    <t>Программное обеспечение</t>
  </si>
  <si>
    <t>Программный продукт - прочий</t>
  </si>
  <si>
    <t>32.99.61.00.00.00.30.70.1</t>
  </si>
  <si>
    <t>62.01.29.00.00.00.00.10.1</t>
  </si>
  <si>
    <t>Оригиналы программных обеспечений прочих</t>
  </si>
  <si>
    <t>32.99.61.00.00.00.30.30.1</t>
  </si>
  <si>
    <t>Услуги по техническому обслуживанию и ремонту техники вычислительной.</t>
  </si>
  <si>
    <t>33.12.18.11.00.00.00</t>
  </si>
  <si>
    <t>Ремонт и техническое обслуживание прецизионных кондиционеров</t>
  </si>
  <si>
    <t>62.02.30.40.00.00.00</t>
  </si>
  <si>
    <t>Услуги консультационные по использованию информационных систем</t>
  </si>
  <si>
    <t>Услуги консультационные по надлежащему использованию информационных систем.</t>
  </si>
  <si>
    <t>62.09.10.40.00.00.00</t>
  </si>
  <si>
    <t>Услуги по обслуживанию АТС</t>
  </si>
  <si>
    <t>Услуги по техническому обслуживанию, настройке автоматических телефонных станций</t>
  </si>
  <si>
    <t>95.11.10.30.00.00.00</t>
  </si>
  <si>
    <t>Ремонт и обслуживание сетевого оборудования</t>
  </si>
  <si>
    <t>Ремонт и техническое обслуживание сетевого оборудования</t>
  </si>
  <si>
    <t>62.01.12.10.00.00.00</t>
  </si>
  <si>
    <t>Услуги по проектированию и разработке  структурированных кабельных систем</t>
  </si>
  <si>
    <t>Услуги по проектированию и разработке универсальных многофункциональных сетей масштаба офиса или здания, предназначеных для передачи компьютерных, телефонных, мультимедийных и видео данных, служебной цифровой и аналоговой информации систем управления</t>
  </si>
  <si>
    <t>62.02.20.40.00.00.00</t>
  </si>
  <si>
    <t>Услуги консультационные по применению программного обеспечения</t>
  </si>
  <si>
    <t>33.13.19.15.00.00.00</t>
  </si>
  <si>
    <t>Ремонт и техническое обслуживание системы электронной очереди</t>
  </si>
  <si>
    <t>Наладка, ремонт и техническое обслуживание системы электронной очереди</t>
  </si>
  <si>
    <t>58.29.50.10.17.00.00</t>
  </si>
  <si>
    <t>Услуги по предоставлению лицензий на право использования   программного обеспечения системного прочего</t>
  </si>
  <si>
    <t>Услуги по предоставлению лицензий на право использования  компьютерного программного обеспечения системного,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</si>
  <si>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33.14.11.31.00.00.00</t>
  </si>
  <si>
    <t>Техническое обслуживание дизель-генераторов</t>
  </si>
  <si>
    <t>61.10.43.01.01.00.00</t>
  </si>
  <si>
    <t>Услуги по доступу к Интернету</t>
  </si>
  <si>
    <t>Услуги, направленные на предоставление доступа к Интернету широкополосному по сетям проводным</t>
  </si>
  <si>
    <t>61.10.13.01.01.00.00</t>
  </si>
  <si>
    <t>Услуги частных сетей по предоставлению линий телекоммуникационных проводных</t>
  </si>
  <si>
    <t>Услуги частных сетей по предоставлению линий телекоммуникационных проводных, аренда местной и прямой линии связи</t>
  </si>
  <si>
    <t>Абонентская плата за  Business Trunk - региональные филиалы</t>
  </si>
  <si>
    <t>74.90.21.15.00.00.00</t>
  </si>
  <si>
    <t>Услуги информационного мониторинга</t>
  </si>
  <si>
    <t>62.02.20.51.00.00.00</t>
  </si>
  <si>
    <t>Услуги технические консультационные</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</si>
  <si>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</si>
  <si>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61.90.10.01.00.00.00</t>
  </si>
  <si>
    <t>Услуги по представлению доменного имени</t>
  </si>
  <si>
    <t>Услуги по представлению и продлению пользования доменным именем</t>
  </si>
  <si>
    <t>77.39.14.10.00.00.00</t>
  </si>
  <si>
    <t>Услуги по предоставлению вычислительных мощностей для физического размещения информации на сервере, постоянно находящемс</t>
  </si>
  <si>
    <t>Предоставление вычислительных мощностей для физического размещения информации на сервере, постоянно находящемся в сети Интернет (хостинг)</t>
  </si>
  <si>
    <t>Штрих - корректор</t>
  </si>
  <si>
    <t>Ручка пластиковая шариковая</t>
  </si>
  <si>
    <t xml:space="preserve"> Маркер пластиковый круглый, ширина линии 1,8 мм</t>
  </si>
  <si>
    <t>25.99.21.00.00.11.10.10.1</t>
  </si>
  <si>
    <t xml:space="preserve">Сейф </t>
  </si>
  <si>
    <t>Сейфы несгораемые металлические</t>
  </si>
  <si>
    <t>Сейф металлический</t>
  </si>
  <si>
    <t>26.40.33.00.00.00.11.10.1</t>
  </si>
  <si>
    <t>Цифровая</t>
  </si>
  <si>
    <t>Видеокамера цифровая</t>
  </si>
  <si>
    <t>26.70.14.00.00.00.62.20.1</t>
  </si>
  <si>
    <t xml:space="preserve"> Цифровой фотоаппарат</t>
  </si>
  <si>
    <t>26.40.32.11.11.11.11.50.1</t>
  </si>
  <si>
    <t>Диктофон</t>
  </si>
  <si>
    <t>цифровой диктофон, формат записи MP3.</t>
  </si>
  <si>
    <t>31.01.12.00.00.03.01.02.1</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</si>
  <si>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</si>
  <si>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Шкафы для папок</t>
  </si>
  <si>
    <t>31.01.12.00.00.04.02.01.1</t>
  </si>
  <si>
    <t>Вешалки</t>
  </si>
  <si>
    <t>вешалка  для одежды стоячая металлическая на 3-х ножках</t>
  </si>
  <si>
    <t>Вешалки для одежды</t>
  </si>
  <si>
    <t>Кресла офисные</t>
  </si>
  <si>
    <t>27.51.25.01.01.00.00.20.1</t>
  </si>
  <si>
    <t xml:space="preserve">диспенсер для воды </t>
  </si>
  <si>
    <t>С функцией нагрева воды. Напольный (с холодильником).</t>
  </si>
  <si>
    <t>31.01.11.00.00.00.02.03.1</t>
  </si>
  <si>
    <t>Шкаф металлический архивный, сварная конструкция, замок, регулируемые полки, полимерное покрытие, двудверный.</t>
  </si>
  <si>
    <t>апрель-май</t>
  </si>
  <si>
    <t>74.90.20.15.00.00.00</t>
  </si>
  <si>
    <t>Маркетинговые услуги</t>
  </si>
  <si>
    <t xml:space="preserve">Услуги, связанные с исследованием, анализом, планированием и прогнозированием в сфере производства и обращения товаров, работ, услуг </t>
  </si>
  <si>
    <t>сентябрь-октябрь</t>
  </si>
  <si>
    <t>73.12.19.31.10.00.00</t>
  </si>
  <si>
    <t>Услуги по размещению наружней рекламы</t>
  </si>
  <si>
    <t>на плакатах</t>
  </si>
  <si>
    <t>август-сентябрь</t>
  </si>
  <si>
    <t>74.30.11.20.10.00.00</t>
  </si>
  <si>
    <t>Услуги по письменному переводу с русского языка на казахский язык</t>
  </si>
  <si>
    <t>Письменный перевод с русского языка на казахский язык</t>
  </si>
  <si>
    <t xml:space="preserve">февраль </t>
  </si>
  <si>
    <t>74.90.21.14.00.00.00</t>
  </si>
  <si>
    <t>Услуги независимых экспертов</t>
  </si>
  <si>
    <t>Услуги независимых экспертов, привлекаемых от различных организаций</t>
  </si>
  <si>
    <t>октябрь-ноябрь</t>
  </si>
  <si>
    <t>59.11.12.12.00.00.00</t>
  </si>
  <si>
    <t>Услуги по подготовке и выпуску видеосюжетов на телеканалах</t>
  </si>
  <si>
    <t>услуги по подготовке и выпуску видеосюжетов на телеканалах</t>
  </si>
  <si>
    <t>май-июнь</t>
  </si>
  <si>
    <t>43.21.10.10.20.12.00</t>
  </si>
  <si>
    <t>Услуги по техническому обслуживанию пожарной сигнализации</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</si>
  <si>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</si>
  <si>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43.21.10.10.10.12.00</t>
  </si>
  <si>
    <t>Услуги по техническому обслуживанию охранной сигнализации</t>
  </si>
  <si>
    <t>43.21.10.10.30.12.00</t>
  </si>
  <si>
    <t>Услуги по техническому обслуживанию системы видеонаблюдения</t>
  </si>
  <si>
    <t>80.20.10.11.00.00.00</t>
  </si>
  <si>
    <t>Услуги по обеспечению информационной безопасности</t>
  </si>
  <si>
    <t>Обеспечение информационной безопасности</t>
  </si>
  <si>
    <t>82.91.11.13.11.00.00</t>
  </si>
  <si>
    <t>Услуги по предоставлению отчета о кредитной истории заемщиков</t>
  </si>
  <si>
    <t>66.29.19.00.00.00.01</t>
  </si>
  <si>
    <t>Услуги по предоставлению информации по системе пенсионных взносов</t>
  </si>
  <si>
    <t>Услуги Кредитного бюро по получению выписки из ГЦВП</t>
  </si>
  <si>
    <t>70.22.30.30.30.00.00</t>
  </si>
  <si>
    <t>Услуги по сертификации систем менеджемента</t>
  </si>
  <si>
    <t>18.12.14.10.00.00.00</t>
  </si>
  <si>
    <t>Услуги по печатанию книг</t>
  </si>
  <si>
    <t>63.11.12.20.00.00.00</t>
  </si>
  <si>
    <t>Услуги по информационной поддержке сайтов</t>
  </si>
  <si>
    <t>Услуги по изменению, добавлению текстов, графических элементов сайта.</t>
  </si>
  <si>
    <t>66.19.29.00.00.00.01</t>
  </si>
  <si>
    <t xml:space="preserve">Услуги вспомогательные прочие, связанные с банковскими инвестициями  </t>
  </si>
  <si>
    <t>октябрь, ноябрь, декабрь</t>
  </si>
  <si>
    <t>32.99.85.00.00.00.00.25.1</t>
  </si>
  <si>
    <t>Сувенирная продукция</t>
  </si>
  <si>
    <t xml:space="preserve">подарочная </t>
  </si>
  <si>
    <t>Памятные подарки лучшим сотрудникам</t>
  </si>
  <si>
    <t>73.20.12.10.00.00.00</t>
  </si>
  <si>
    <t>Услуги по изучению рынка: обзоры количественные для конкретных случаев</t>
  </si>
  <si>
    <t>85.59.13.12.00.00.00</t>
  </si>
  <si>
    <t>Услуги по повышению квалификации на курсах по управлению персоналом</t>
  </si>
  <si>
    <t>70.22.11.16.00.00.00</t>
  </si>
  <si>
    <t>Услуги консультационные по оценке деятельности</t>
  </si>
  <si>
    <t>Комплекс консультационных услуг по оценке деятельности структурных подразделений компании либо компании в целом</t>
  </si>
  <si>
    <t>Аренда автомашин для ГО</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</si>
  <si>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</si>
  <si>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</si>
  <si>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Мебельный гарнитур</t>
  </si>
  <si>
    <t>Стол журнальный</t>
  </si>
  <si>
    <t>26.70.18.00.00.00.01.40.1</t>
  </si>
  <si>
    <t>26.70.13.00.00.01.11.30.1</t>
  </si>
  <si>
    <t>Со встроенной оптикой. Компактные. Число эффективных пикселов: от 14 до 16 млн.</t>
  </si>
  <si>
    <t>Со встроенной оптикой. Компактные. Число эффективных пикселов от 12 до 14 млн.</t>
  </si>
  <si>
    <t>26.40.33.00.00.00.31.20.1</t>
  </si>
  <si>
    <t>Для видеонаблюдения. Монохромная. Внешнего исполнения (уличная).</t>
  </si>
  <si>
    <t>Маркер пластиковый,пермаментный, скошенный наконечник 1-5 мм.</t>
  </si>
  <si>
    <t>Услуги, связанные с копированием и размножением текста</t>
  </si>
  <si>
    <t>82.30.11.10.00.00.00</t>
  </si>
  <si>
    <t>Услуги по организации конференций</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</si>
  <si>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</si>
  <si>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Су</t>
  </si>
  <si>
    <t>11.07.11.00.00.00.06.20.1</t>
  </si>
  <si>
    <t>Питьевая природная негазированная. Прозрачная. Без посторонних привкусов и запахов. V -  до 0,5 литра.</t>
  </si>
  <si>
    <t>Кондиционеры для ЦОП</t>
  </si>
  <si>
    <t>28.23.23.00.00.00.20.10.1</t>
  </si>
  <si>
    <t>Лопаты копальные остроконечные (штыковые)</t>
  </si>
  <si>
    <t>22.11.17.11.15.12.12.21.1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</si>
  <si>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</si>
  <si>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22.11.17.00.11.15.11.37.1</t>
  </si>
  <si>
    <t>Размер:215/65R16.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</si>
  <si>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65.12.11.00.00.00.01</t>
  </si>
  <si>
    <t>22.29.25.00.00.00.19.11.1</t>
  </si>
  <si>
    <t>23.44.11.00.00.00.12.10.1</t>
  </si>
  <si>
    <t>Стакан</t>
  </si>
  <si>
    <t>Стакан 1 ГОСТ9147-80.  Сыйымдылығы 25 см3</t>
  </si>
  <si>
    <t>Стакан 1 ГОСТ9147-80.  Номинальная вместимость 25 см3</t>
  </si>
  <si>
    <t>Су ішуге арналған стакан (конференц-зал үшін)</t>
  </si>
  <si>
    <t>25.71.14.00.00.10.15.10.1</t>
  </si>
  <si>
    <t>Ложка</t>
  </si>
  <si>
    <t>Ложки столовые из нержавеющей стали</t>
  </si>
  <si>
    <t>20.41.32.00.00.00.10.10.2</t>
  </si>
  <si>
    <t>Средство для мытья посуды</t>
  </si>
  <si>
    <t>01.19.21.00.00.00.02.10.1</t>
  </si>
  <si>
    <t>Кесілген гүлдер</t>
  </si>
  <si>
    <t>Цветы срезанные</t>
  </si>
  <si>
    <t>Бірінші топтама. Гладиолус, ұзындығы 60 см. кем емес  (ГОСТ 18908.10.73)</t>
  </si>
  <si>
    <t>Первая группа. Гладиолус, длина соцветия и цветоноса не менее 60см (ГОСТ 18908.10.73)</t>
  </si>
  <si>
    <t>18.12.19.11.00.00.00</t>
  </si>
  <si>
    <t>Услуги по изготовлению и печатанию визитных карточек</t>
  </si>
  <si>
    <t>18.12.16.15.00.00.00</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</si>
  <si>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</si>
  <si>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</si>
  <si>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</si>
  <si>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Услуги по подготовке пластин и клише для рельефной штамповки ипечати</t>
  </si>
  <si>
    <t>93.19.19.10.00.00.00</t>
  </si>
  <si>
    <t>Услуги в области спорта и спортивно-оздоровительных мероприятий прочие</t>
  </si>
  <si>
    <t>60.20.13.02.02.01.00</t>
  </si>
  <si>
    <t>Услуги по трансляции  телевизионных программ</t>
  </si>
  <si>
    <t>Услуги по трансляции информационных телевизионных программ по подписке, транслируемых в прямом эфире</t>
  </si>
  <si>
    <t>Жылуэнергиясын тарату қызметтері</t>
  </si>
  <si>
    <t>Сумен және канализациямен  қамтамасыз ету  қызметтері</t>
  </si>
  <si>
    <t xml:space="preserve"> Электрэнергияны тарату қызметтері</t>
  </si>
  <si>
    <t>65.12.12.10.00.00.01</t>
  </si>
  <si>
    <t>Услуги по страхованию от болезней</t>
  </si>
  <si>
    <t>Медицинское страхование работников и членов их семей на случай болезни</t>
  </si>
  <si>
    <t>41.00.20.00.00.00.10.41.1</t>
  </si>
  <si>
    <t>Ғимарат сатып алу</t>
  </si>
  <si>
    <t>Приобретение здания</t>
  </si>
  <si>
    <t>Офис орналастыратын кеңсе</t>
  </si>
  <si>
    <t>Помещение для размещения офиса</t>
  </si>
  <si>
    <t>63.91.12.10.00.00.00</t>
  </si>
  <si>
    <t>Услуги информационных агентств, предоставляемые аудиовизуальным средствам массовой информации</t>
  </si>
  <si>
    <t>Услуги по предоставлению новостей,  фотографий, видео  и  других материалов  аудиовизуальным средствам массовой информации агентствами новостей и другими информационными агентствами.</t>
  </si>
  <si>
    <t>74.20.39.00.00.00.00</t>
  </si>
  <si>
    <t>Услуги в области фотографии, не включенные в другие группировки</t>
  </si>
  <si>
    <t>Прочие услуги в области фотографии, не включенные в другие группировки</t>
  </si>
  <si>
    <t>82.20.10.10.00.00.00</t>
  </si>
  <si>
    <t>Услуги телефонных справочных центров</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</si>
  <si>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</si>
  <si>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73.12.19.30.00.00.00</t>
  </si>
  <si>
    <t>60.20.12.01.02.01.00</t>
  </si>
  <si>
    <t>Услуги по производству  телевизионных программ</t>
  </si>
  <si>
    <t>Услуги по производству информационных телевизионных программ, записываемых на магнитную ленту или другие технические носители информации для последующей трансляции</t>
  </si>
  <si>
    <t>82.30.11.15.00.00.00</t>
  </si>
  <si>
    <t>Услуги по проведению конкурсов</t>
  </si>
  <si>
    <t>Организация проведения конкурсов с сопутствующими услугами</t>
  </si>
  <si>
    <t>59.11.13.10.00.00.00</t>
  </si>
  <si>
    <t>Услуги по производству телевизионных программ прочие</t>
  </si>
  <si>
    <t>85.59.13.13.00.00.00</t>
  </si>
  <si>
    <t>Услуги по повышению квалификации руководителей и специалистов по вопросам менеджмента</t>
  </si>
  <si>
    <t>Повышение квалификации руководителей и специалистов по вопросам менеджмента</t>
  </si>
  <si>
    <t>79.11.19.10.00.00.00</t>
  </si>
  <si>
    <t>Услуги туристских агентств по бронированию транспорта прочие</t>
  </si>
  <si>
    <t>Прочие услуги по предварительному бронированию транспорта для юридических и физических лиц, не включенные в другие группировки</t>
  </si>
  <si>
    <t>82.19.12.00.00.10.00</t>
  </si>
  <si>
    <t>Услуги по составлению списков адресатов и рассылке материалов по ним</t>
  </si>
  <si>
    <t>Составление списков адресатов и рассылка материалов по ним</t>
  </si>
  <si>
    <t>63.11.12.40.00.00.00</t>
  </si>
  <si>
    <t>Услуги по обработке сайтов в Интернете</t>
  </si>
  <si>
    <t>Услуги по созданию, продвижению и содержанию сайтов в рабочем состоянии</t>
  </si>
  <si>
    <t>повышение квалификации руководителей и специалистов по вопросам менеджмента</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</si>
  <si>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</si>
  <si>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</si>
  <si>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</si>
  <si>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79.11.11.10.00.00.00</t>
  </si>
  <si>
    <t>Услуги по бронированию мест в самолетах</t>
  </si>
  <si>
    <t>Предварительное бронирование мест в самолетах для юридических и физических лиц</t>
  </si>
  <si>
    <t>63.11.12.10.00.00.00</t>
  </si>
  <si>
    <t>Услуги по технической поддержке сайтов</t>
  </si>
  <si>
    <t>Услуги по технической поддержке сайта в работоспособном состоянии, улучшению его функциональных возможностей.</t>
  </si>
  <si>
    <t>82.99.19.13.00.00.00</t>
  </si>
  <si>
    <t>Услуги по актуализации нормативных документов</t>
  </si>
  <si>
    <t xml:space="preserve">Услуги по приведению в актуальное состояние нормативных документов </t>
  </si>
  <si>
    <t>Работа</t>
  </si>
  <si>
    <t>94.11.10.10.00.00.00</t>
  </si>
  <si>
    <t>Услуги коммерческих и предпринимательских организаций</t>
  </si>
  <si>
    <t>Разработка типовых бизнес-планов</t>
  </si>
  <si>
    <t>Типографские услуги (открытки)</t>
  </si>
  <si>
    <t>73.11.11.16.00.00.00</t>
  </si>
  <si>
    <t>Услуги по проведению маркетинговых компаний и других рекламных услуг с целью привлечения и удержания клиентов</t>
  </si>
  <si>
    <t xml:space="preserve">оказание услуги в течение 12 месяцев с даты подписания договора </t>
  </si>
  <si>
    <t>в течение 180 календарных дней с даты подписания договора</t>
  </si>
  <si>
    <t>в течение 60 календарных дней с даты подписания договора</t>
  </si>
  <si>
    <t>в течение 30 календарных дней с даты подписания договора</t>
  </si>
  <si>
    <t>в течение 90 календарных дней с даты полписания договора</t>
  </si>
  <si>
    <t>в течение 10 рабочих дней с даты подписания договора</t>
  </si>
  <si>
    <t>в течение 20 рабочих дней с даты подписания договора</t>
  </si>
  <si>
    <t xml:space="preserve">Бутылка </t>
  </si>
  <si>
    <t>Метр</t>
  </si>
  <si>
    <t>Литр</t>
  </si>
  <si>
    <t>Метр погонный</t>
  </si>
  <si>
    <t>Набор</t>
  </si>
  <si>
    <t>15 рабочих дней со дня полписания договора</t>
  </si>
  <si>
    <t>05 Запрос ценовых предложений</t>
  </si>
  <si>
    <t>01 Открытый тендер</t>
  </si>
  <si>
    <t>32.99.86.00.00.00.61.15.1</t>
  </si>
  <si>
    <t>Система контроля и управления доступом</t>
  </si>
  <si>
    <t>2 класса, имеют возможность расширения и включения их в сетевой режим. Данные системы имеют возможность интеграции с оборудованными средствами и системами охранно-пожарной сигнализации для  усиления режима обеспечения безопасности объекта</t>
  </si>
  <si>
    <t>26.40.33.00.00.00.10.01.1</t>
  </si>
  <si>
    <t>с даты подписания договора по 31.03.2014г.</t>
  </si>
  <si>
    <t>с даты подписания  договора по 30.11.2014г.</t>
  </si>
  <si>
    <t>Услуги по организации и проведению выставки и конференции по франчайзингу</t>
  </si>
  <si>
    <t>с даты подписания  договора по 31.10.2014г.</t>
  </si>
  <si>
    <t>Размещение в СМИ рекламной и пост-информации о мероприятии по франчайзингу</t>
  </si>
  <si>
    <t>73.20.14.11.00.00.00</t>
  </si>
  <si>
    <t>Услуги по изучению и анализу рынка</t>
  </si>
  <si>
    <t>Услуги по изучению и анализу определенного  рынка поставки товаров, оказания услуг,  выполнения работ</t>
  </si>
  <si>
    <t>Услуги по разработке, изготовлению, подготовке набора, печатанию  рекламных каталогов, проспектов, постеров и продукции рекламной прочей</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</si>
  <si>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</si>
  <si>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</si>
  <si>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</si>
  <si>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</si>
  <si>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</si>
  <si>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94.12.10.24.00.00.00</t>
  </si>
  <si>
    <t>Рейтингтік агенттіктердің  қызметтері</t>
  </si>
  <si>
    <t>Услуги рейтингового агентства</t>
  </si>
  <si>
    <t>Кредиттік рейтингті бақылау   қызметтері</t>
  </si>
  <si>
    <t>70.22.12.10.00.00.00</t>
  </si>
  <si>
    <t>Өзіндік құнын анықтау методикасын дайындау қызметтері</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</si>
  <si>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</si>
  <si>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</si>
  <si>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Техническое обслуживание охранно-пожарной сигнализации</t>
  </si>
  <si>
    <t>Аренда производственной базы</t>
  </si>
  <si>
    <t>Электропотребление, включая электроснабжение и горячую водоподготовка</t>
  </si>
  <si>
    <t>33.12.19.25.00.00.00</t>
  </si>
  <si>
    <t>Қауіпсіздік-өрт дабылғышын техникалық қамсыздандыру</t>
  </si>
  <si>
    <t>Аренда автомашин в г. Астана</t>
  </si>
  <si>
    <t>22.19.72.00.00.00.30.40.3</t>
  </si>
  <si>
    <t>Покрытие наружное для лестницы ЦОП в зимнее время</t>
  </si>
  <si>
    <t>29.32.20.00.00.00.60.02.1</t>
  </si>
  <si>
    <t>27.20.21.00.00.00.02.35.1</t>
  </si>
  <si>
    <t>Аккумулятор для служебного автотранспорта</t>
  </si>
  <si>
    <t xml:space="preserve">Аккумулятор для автобуса МЦПП </t>
  </si>
  <si>
    <t>22.21.29.00.00.35.40.10.1</t>
  </si>
  <si>
    <t>Краны сантехнические</t>
  </si>
  <si>
    <t>Услуга по изготовлению пандуса</t>
  </si>
  <si>
    <t>Питьевая вода в пластиковых бутылях</t>
  </si>
  <si>
    <t>Шины: Тойота Карола, 1,6 (зимние)</t>
  </si>
  <si>
    <t>Тумба</t>
  </si>
  <si>
    <t xml:space="preserve">МКҚО үшін консультациялық қызметтері </t>
  </si>
  <si>
    <t>Нотариус қызметтері</t>
  </si>
  <si>
    <t>Кофе-брейк ұйымдастыру қызметтері</t>
  </si>
  <si>
    <t>Сейф ұяшықтарын жалға алу қызметтері</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</si>
  <si>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</si>
  <si>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600 dpi. </t>
  </si>
  <si>
    <t>Орташа сыныпты, экранының диагоналы - 12" және одан көбірек.Өнімділігі орташа және мультимедиялы функционалдылық, бейне адаптер — жапсырылып жасалынған немесе дискретті кіші сериялар, процессор —бастапқы немесе орташа деңгейде. Автономды жұмыстың орташа уақыты. Корпусы пластикадан жасалынған, дизайны қарапайым . Функционалдығы орташа мультимедиялы"</t>
  </si>
  <si>
    <t>моноблок", дисплеймен біріктірілген монитор</t>
  </si>
  <si>
    <t>"моноблок", совмещенный с дисплеем монитор"</t>
  </si>
  <si>
    <t xml:space="preserve"> Форм-фактор моноблок компьютер</t>
  </si>
  <si>
    <t>Диагоналы - 12" және одан үлкендеу. Жалпы өнімділігі жоғары деңгейде. Ақпаратты қорғау деңгейі жоғары (саусақ іздерін есептеу датчиктері, деректерді шифрлеудің әртүрлі әдістері және т.б.). Бірегей және стильді дизайн. Корпусты дайындау үшін болат, алюминий, карбон сияқты материалдар және өзгеде  қымбат материалдар қолданылады. Салмағы мен габариты үлкен емес."</t>
  </si>
  <si>
    <t>Ресурстарды (blade) горизонтальды етіп масштабталған аса берік, жалпы бағыттағы желілік, , құрылымдалған сервер пулын қалыптастыруға тағайындалған компоненттер монтажының максималды  тығыздығымен. Арнайы корпусқа-желілік коммуникациялардың орталықтандырылған жүйесі бар сөрелерге, энергиямен қоректендіруді, суыту және басқаруды алып жатқан орынды азайту үшін кәрзіңкеге шығарылған және жинақталған арнайы корпусқа орналастыруды қарастырады. Кәрзіңке (англ. enclosure) — оларға жалпы компоненттерге қолжеткізуді ұсынатын блейд-серверлер үшін шасси.</t>
  </si>
  <si>
    <t>Жалпы мақсатта қолданылатын желілік, ресурстарды (blade) көлденеңінен масштабтаумен аса тығыз, құрылымдалған сервер пулын компоненттер монтажын барынша тығыздап, барынша қалыптастыруға арналған. желі коммуникацияларының, энергоқоректің, суытудың және басқарудың орталықтандырылған жүйесімен арнайы сөре-корпусқа орнату ұйғарылады, себебі олардың алатын орнын азайту үшін, кәрзіңкеге жинақталған. Кәрзіңке (англ. enclosure) — оларға жалпы компоненттерге қолжеткізуге мүмкіндік беретін блейд-серверге арналған шасси</t>
  </si>
  <si>
    <t>деректерді сақтау жүйесі</t>
  </si>
  <si>
    <t>желілік, iSCSI хаттамасы мен Fibre Channel технологиясын пайдалана отырып</t>
  </si>
  <si>
    <t>Ленталы кітапхана</t>
  </si>
  <si>
    <t>LTO типтес жинақтаушы, число картридждер саны 18-ден 24-дейін</t>
  </si>
  <si>
    <t>Ленталы кітапхана, LTO типтес жинақтаушы, число картридждер саны 18-ден 24-дейін</t>
  </si>
  <si>
    <t>Өнеркәсіптік</t>
  </si>
  <si>
    <t>LCD-KVM консоль 16 порт, в стойку 19'', диагональ не менее 17''</t>
  </si>
  <si>
    <t>Шағын-АТС</t>
  </si>
  <si>
    <t>Медиа шлюз + S8300-мен бірге тіркесетін IP АТС Avaya  сервері</t>
  </si>
  <si>
    <t>Резервті сервер IP АТС Avaya S8300</t>
  </si>
  <si>
    <t>Телефон аппараты</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</si>
  <si>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</si>
  <si>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IP  Avaya  АТС сыйымдылықты телефон аппараты (аймақтық филиал телефониясын жаңғырту)</t>
  </si>
  <si>
    <t>виртуалды (IP-телефония),  сиымдылығы 150-5000 нөмір</t>
  </si>
  <si>
    <t>IP АТС Avaya функционалын кеңейту бойынша аппараттық-бағдарламалық кешен, бастартушылықты арттыру</t>
  </si>
  <si>
    <t>Төменгі сыныпты маршрутизатор (серпінді маршрутизацияны ұйымдастыру)</t>
  </si>
  <si>
    <t xml:space="preserve">Желілік коммутатор (Switch) </t>
  </si>
  <si>
    <t>Микропроцессорлы</t>
  </si>
  <si>
    <t xml:space="preserve">Желілік коммутатор (Switch), КҚКО үшін қолжеткізушілік деңгейін ұйымдастыру </t>
  </si>
  <si>
    <t>Бейнеконференция байланыс терминалы</t>
  </si>
  <si>
    <t>компьютерді пайдаланбастан бір немесе одан да көп абоненттері бар  кезкелген желілер үлгісімен (LAN, MAN, WAN) , шағылыстырып көрсететін қажетті шағылысудың сыртқы құрылысы</t>
  </si>
  <si>
    <t>Бейнеконференцбайланыс жүйесі (бас кеңсе, 15 аймақтық филиал)</t>
  </si>
  <si>
    <t>Е сыныбы, өкілдік сынып, трансмиссия - кемінде 5 баспалдақты  АКПП. Кемінде 6 қауіпсіздік жастығы,ABS,SRS,ГУР,ПЭП, шұғыл тоқтату күшейткіші, «ағашқа ұқсас» етіп жапсырылған декоративті интерьер элементі, климат бақылау, еңкею бұрышына қарай рульді ретке келтіру, мультифункц.рөл</t>
  </si>
  <si>
    <t>Автокөлік сатып алу</t>
  </si>
  <si>
    <t>Төменгі сыныпты</t>
  </si>
  <si>
    <t>Нижнего класса</t>
  </si>
  <si>
    <t>Виртуалды (IP-телефония), сыйымдылығы 5 нөмірге дейін</t>
  </si>
  <si>
    <t>Виртуалды (IP-телефония), сыйымдылығы 5-50 нөмір</t>
  </si>
  <si>
    <t>Желдетуге арналған жабдық</t>
  </si>
  <si>
    <t>Оборудование для кондиционирования</t>
  </si>
  <si>
    <t>Терезеге немесе қабырғаға қойылатын бірыңғай корпусты ауа алмастырғыш кондиционер</t>
  </si>
  <si>
    <t>Оборудование для кондиционирования воздуха оконного или настенного типа в едином корпусе</t>
  </si>
  <si>
    <t>Кондиционерлер</t>
  </si>
  <si>
    <t>Кіруді бақылау және басқару жүйесі</t>
  </si>
  <si>
    <t>2 класты, желіге қосылу және оны кеңейту мүмкіндігі бар. Бұл жүйе объектінің қауіпсіздігін қамтамасыз етуді күшейту үшін қондырғыларға және қорғау-өрт сөндіру дабыл жүйелеріне бірігуге мүмкіндігі бар</t>
  </si>
  <si>
    <t>Бағдарламалық қамтамасыз ету</t>
  </si>
  <si>
    <t>Бағдарлама өнімі- өзгелер</t>
  </si>
  <si>
    <t>Бағдарлама өнімі- жойылған басқару және/немесе конференция үшін</t>
  </si>
  <si>
    <t>Бағдарламалық қамтамасыз ету электронды почтаның сервері</t>
  </si>
  <si>
    <t>Нақты уақытта пайдаланушылар байланысудың әртүрлі түрлерін қолдана отырып бір-бірімен: шұғыл хабарлама, бейне-  және дауыс арқылы сөйлесуге мүмкіндік беретін байланыс серверінің бағдарламалық қамтамасыздығы, жұмыс үстеліне жалпы қолжеткізушілік, конференция, файлдарды табыстау</t>
  </si>
  <si>
    <t>Программный продукт - для удаленного управления и/или конференции</t>
  </si>
  <si>
    <t>Серверді виртуалдаудың бағдарламалық қамтамасыздығы</t>
  </si>
  <si>
    <t>Телефон арқылы сөйлесулердің биллинг жүйесі, бағдарламалық-аппарат кешені</t>
  </si>
  <si>
    <t>Өзгелердің бағдарламалық қамтамасыздығының түпнұсқалары</t>
  </si>
  <si>
    <t xml:space="preserve"> web-трафикті фильтрлеудің бағдарламалық-аппараттық кешені </t>
  </si>
  <si>
    <t>Бағдарлама өнімі-құжатайналымын автоматтандыру жүйесі</t>
  </si>
  <si>
    <t>Бағдарламалық өнімге лицензия</t>
  </si>
  <si>
    <t>Бағдарламалық өнімге (пайдалану құқығы) лицензия</t>
  </si>
  <si>
    <t>CRM Terrasoft XRM үшін лицензия</t>
  </si>
  <si>
    <t xml:space="preserve">Microsoft Windows Server Standard 2012 лицензиялық бағдарламалық қамтамасыздығы </t>
  </si>
  <si>
    <t xml:space="preserve">Microsoft office лицензиялық бағдарламалық қамтамасыздығы </t>
  </si>
  <si>
    <t xml:space="preserve">Microsoft SQL Server Enterprise 2012 бағдарламалық қамтамасыздығы </t>
  </si>
  <si>
    <t xml:space="preserve"> pdf форматындағы құжаттармен жұмыс үшін бағдарлама қамтамасыздығы </t>
  </si>
  <si>
    <t>Антивирусқа қарсы қорғаудың бағдарламалық қамтамасыздығына лицензия (1 жыл, қорғау нысандары 520)</t>
  </si>
  <si>
    <t>Құбыр</t>
  </si>
  <si>
    <t>Фанды құбыр  110 мм, 90 град</t>
  </si>
  <si>
    <t>Фанды құбыр</t>
  </si>
  <si>
    <t>вентиль</t>
  </si>
  <si>
    <t>ГОСТ 23405-78, 1 типті, шартты өту 4 мм, атаулы қысым 35 Мпа</t>
  </si>
  <si>
    <t xml:space="preserve"> У-30М маркалы, ГОСТ 13489-79</t>
  </si>
  <si>
    <t>бояу жаққыш</t>
  </si>
  <si>
    <t>бояу жаққыш, үстіңгі бетті грунттау және бояуға арналған</t>
  </si>
  <si>
    <t>75 мм-лік бояужаққыш</t>
  </si>
  <si>
    <t>38 мм-лік бояужаққыш</t>
  </si>
  <si>
    <t>Бұрғы</t>
  </si>
  <si>
    <t>ГОСТ 17016-71, БД1 диаметрі 22 мм, ұзындығы 160 мм   саңылауды бұрғылау үшін</t>
  </si>
  <si>
    <t>Бетонға арналған бұрғы</t>
  </si>
  <si>
    <t>Бұрандалар жиынтығы</t>
  </si>
  <si>
    <t>Кескіш дөңгелек, ГОСТ 21963-02</t>
  </si>
  <si>
    <t>саптама</t>
  </si>
  <si>
    <t>өзге топтарға кіргізілмеген тағы басқалар</t>
  </si>
  <si>
    <t>Бұрандалы шегені айналдыратын саптама</t>
  </si>
  <si>
    <t>тістеуік</t>
  </si>
  <si>
    <t>құрастырылған</t>
  </si>
  <si>
    <t>бұрауыштар жиынтығы</t>
  </si>
  <si>
    <t>кресті, жалпақ (стандартты өлшемдер)</t>
  </si>
  <si>
    <t>қол ара</t>
  </si>
  <si>
    <t>Ножовка</t>
  </si>
  <si>
    <t>ағаш кескіш</t>
  </si>
  <si>
    <t>Поливинилхлоридті лента</t>
  </si>
  <si>
    <t>ГОСТ 16214-86. 30°С -ден +50°С-дейін ыстықта жұмыс істей алады.</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</si>
  <si>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</si>
  <si>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тырма</t>
  </si>
  <si>
    <t>Грабля</t>
  </si>
  <si>
    <t>алдын ала қопсытылған жердің кесектерін тегістеу, қазылып алынған арам шөптердің тамырынан тазарту, өсімдіктер арасын соңғы рет жеңіл жұмсарту</t>
  </si>
  <si>
    <t>Бұрандалы шеге</t>
  </si>
  <si>
    <t>Қара металдан жасалынған басы төртбұрышты бұрандалы шегелер</t>
  </si>
  <si>
    <t>Қара металдан жасалынған( басы төртбұрыштылардан бөлек) бұрандалы шегелер</t>
  </si>
  <si>
    <t>Бекітуге арналған бұрандалы шеге</t>
  </si>
  <si>
    <t>Люминесцентті лампалар</t>
  </si>
  <si>
    <t>Люминесцентті лампа, цоколі G24-d-2, қуаттылығы 22 Ватт</t>
  </si>
  <si>
    <t>Жарықдиодты лампа</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</si>
  <si>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</si>
  <si>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энергияүнемдейтін лампа</t>
  </si>
  <si>
    <t xml:space="preserve"> Фарфордан, қыштан, ағаштан, теріден, рәзіңкеден, металдан, тоздан, картоннан, көбіне пластикадан жасалынған заттарды желімдеу үшінтилцианакрилат негізінде </t>
  </si>
  <si>
    <t>сұйық желім</t>
  </si>
  <si>
    <t>Құбыр іспеттес люминесцентті лампалар үшін, 80С-220, ГОСТ 8799-90 типті</t>
  </si>
  <si>
    <t>Өсімдік материалынан жасалынған</t>
  </si>
  <si>
    <t>Қар жинайтын күрек</t>
  </si>
  <si>
    <t>бұрандалы құлып өзегі</t>
  </si>
  <si>
    <t>ұстағыш</t>
  </si>
  <si>
    <t>өзге топтарға кіргізілмегендер</t>
  </si>
  <si>
    <t>есік ұстағыш</t>
  </si>
  <si>
    <t>парақтарды жедел түрде металл қапсырмалармен бекітетін қондырғы</t>
  </si>
  <si>
    <t>пластикалық</t>
  </si>
  <si>
    <t>Қашықтық карточка (прокси-карта)</t>
  </si>
  <si>
    <t>басқару пульты</t>
  </si>
  <si>
    <t>кондиционер пульты</t>
  </si>
  <si>
    <t>тоңбайтын сұйық</t>
  </si>
  <si>
    <t>жууға арналған тоңбайтын сұйықтық</t>
  </si>
  <si>
    <t>жууға арналған сұйықтық</t>
  </si>
  <si>
    <t>Мұздап қалуға қарсы сұйықтық</t>
  </si>
  <si>
    <t>спирт негізінде алады және жылыту жүйесінде мұз болмас үшін бензинге қосады</t>
  </si>
  <si>
    <t>дизель отынына арналған антигель</t>
  </si>
  <si>
    <t>Қасық</t>
  </si>
  <si>
    <t>Болаттан жасалған асханалық қасықтар</t>
  </si>
  <si>
    <t>Шай қасықтары</t>
  </si>
  <si>
    <t>Газдалмаған табиғи ауызсу. Мөлдір. Бөзде иіссісіз және бөгде дәмсіз. V -  0,5 литр-ге дейін.</t>
  </si>
  <si>
    <t>Ішуге арналған су, 0,5 л.</t>
  </si>
  <si>
    <t>Ыдыстарды жууға араналған сайман</t>
  </si>
  <si>
    <t>Гелеобразное вещество для мытья посуды</t>
  </si>
  <si>
    <t>Гел тәріздес ыдысты жууға араналған заттар</t>
  </si>
  <si>
    <t>Средства для мытья посуды по 500 мл.</t>
  </si>
  <si>
    <t>Ыдыстарды жууға араналған сайман 500 мл.  ден</t>
  </si>
  <si>
    <t>Гүлдер</t>
  </si>
  <si>
    <t>Мөлшері:215/60R16.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</si>
  <si>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Шина: Тойота Камри, 3.5 (қыстық)</t>
  </si>
  <si>
    <t>Шина: Тойота Камри, 2.4 (қыстық)</t>
  </si>
  <si>
    <t>Шина: Тойота Карола, 1,6 (қыстық)</t>
  </si>
  <si>
    <t>Шина: микроавтобус (жаздық)</t>
  </si>
  <si>
    <t>дизель отыны</t>
  </si>
  <si>
    <t>жаздық, тығыздығы 20 °С 860 кг/м3 аспайды, қатып қалу температурасы -10°С аспайды</t>
  </si>
  <si>
    <t>летнее, плотность при 20 °С не более 860 кг/м3, температура застывания не выше -10°С</t>
  </si>
  <si>
    <t>этилдірілденбеген және этилдірілген, шағылысып жану двигательдер үшін шығарылған: АИ-95</t>
  </si>
  <si>
    <t>тіркелім</t>
  </si>
  <si>
    <t xml:space="preserve"> картоннан немесе қағаздан жасалынған тіркеуіш, А4 форматы бойынша</t>
  </si>
  <si>
    <t>А4 70мм тіркеуші</t>
  </si>
  <si>
    <t>А4 50мм тіркеуші</t>
  </si>
  <si>
    <t>А4 форматы үшін мұрағаттық папка, 320x230x40мм, А4 форматы</t>
  </si>
  <si>
    <t>жалпақ, 3 см асады</t>
  </si>
  <si>
    <t>жабысқақ лента - 48ммх66м мөлдір</t>
  </si>
  <si>
    <t xml:space="preserve">жабысқақ лента - </t>
  </si>
  <si>
    <t xml:space="preserve">№10 Степлер </t>
  </si>
  <si>
    <t xml:space="preserve">№24/6.26/6 Степлер </t>
  </si>
  <si>
    <t xml:space="preserve"> №23/6.23/8-23/10 Степлер </t>
  </si>
  <si>
    <t>кеңсеге арналған темір қапсырмалар</t>
  </si>
  <si>
    <t>№10  қапсырма</t>
  </si>
  <si>
    <t xml:space="preserve"> №24/6 қапсырма</t>
  </si>
  <si>
    <t xml:space="preserve"> №23/10 қапсырма </t>
  </si>
  <si>
    <t>Штрих-түзеткіш</t>
  </si>
  <si>
    <t>бояужаққышымен және араластырғышымен</t>
  </si>
  <si>
    <t>түзеткіш сұйықтық, білігімен</t>
  </si>
  <si>
    <t>диспенсері бар блистердегі лента түзеткіші</t>
  </si>
  <si>
    <t xml:space="preserve">Түзеткіш лента </t>
  </si>
  <si>
    <t>қағазтескі</t>
  </si>
  <si>
    <t>қағазға саңлау жасауға арналған құрылғы</t>
  </si>
  <si>
    <t>қағазтескі- 18п.</t>
  </si>
  <si>
    <t>қағазтескі- 70п.</t>
  </si>
  <si>
    <t>қағаз қыстырғыш. Мөлшері 19 мм</t>
  </si>
  <si>
    <t>Зажимы для бумаг. Размер 19 мм</t>
  </si>
  <si>
    <t>19мм қысқыш</t>
  </si>
  <si>
    <t>қағаз қыстырғыш. Мөлшері 32 мм</t>
  </si>
  <si>
    <t>Зажимы для бумаг. Размер 32 мм</t>
  </si>
  <si>
    <t xml:space="preserve">қысқыш - 32мм </t>
  </si>
  <si>
    <t>қағазға арналған кәрзіңке</t>
  </si>
  <si>
    <t>қағазға арналған кәрзіңке, көлемі 10 л</t>
  </si>
  <si>
    <t>лоток</t>
  </si>
  <si>
    <t>қағазға арналған үстел лотогы</t>
  </si>
  <si>
    <t xml:space="preserve">вертикалды лоток </t>
  </si>
  <si>
    <t>батарейка</t>
  </si>
  <si>
    <t>АА типтес кішкентай батарея</t>
  </si>
  <si>
    <t>Батарея, ААА</t>
  </si>
  <si>
    <t>өзге топтарға кіргізілміеген тағы басқалар</t>
  </si>
  <si>
    <t>мәтін маркері</t>
  </si>
  <si>
    <t>файл-қосымша бет</t>
  </si>
  <si>
    <t>перфорациясымен құжаттарға арналған, мөлшері 170*215мм</t>
  </si>
  <si>
    <t>қаламсап</t>
  </si>
  <si>
    <t>пластикадан жасалынған шарикті қаламсап</t>
  </si>
  <si>
    <t>түрлі*түсті қағаздан (қысқажазбаға арналған қағаз блогы)</t>
  </si>
  <si>
    <t>үстелде тұратын компакт калькулятор</t>
  </si>
  <si>
    <t>калькулятор настольный компактный</t>
  </si>
  <si>
    <t>12 разрядты компакты үстел калькуляторы</t>
  </si>
  <si>
    <t>настольный компактный 12 разрядный</t>
  </si>
  <si>
    <t>есепке алу және тіркеу кітабы</t>
  </si>
  <si>
    <t>тағы басқаларды есепке алу және тіркеу кітабы</t>
  </si>
  <si>
    <t>96 п. қатты түптеу, тор</t>
  </si>
  <si>
    <t>форматы C4 (229 х 324 мм)</t>
  </si>
  <si>
    <t>Евро формат, Е65 (110 х 220 мм)</t>
  </si>
  <si>
    <t>ернеуі жабысқақ, белгі үшін</t>
  </si>
  <si>
    <t>5 түсті стикерлер</t>
  </si>
  <si>
    <t>сыйлық үшін</t>
  </si>
  <si>
    <t>үздік қызметкерлерге ескерткіш сыйлықтар</t>
  </si>
  <si>
    <t>Есептеу техникасына техникалық қызмет көрсету жөндеу қызметтері</t>
  </si>
  <si>
    <t>компьютер жабдықтарын жөндеу қызметтері</t>
  </si>
  <si>
    <t>Принтердің құрастырма бөліктерін ауыстыру бойынша көрсетілетін қызметтер</t>
  </si>
  <si>
    <t>Картридждерді және басқада принтер жасақтарын ауыстыру қызметтері</t>
  </si>
  <si>
    <t xml:space="preserve"> оргтехниканы жөндеу қызметтері, картридждерді ауыстыру</t>
  </si>
  <si>
    <t xml:space="preserve">Кеңсе машиналары мен жабдықтарына техникалық қызмет көрсетужәне оларды жөндеу қызметін көрсету </t>
  </si>
  <si>
    <t>Gamatronic 20 кВа және 100 кВа үздіксіз қамтамасыз ету жүйесіне техникалық қолдау көрсету</t>
  </si>
  <si>
    <t>Прецизиондық кондиционерлерге жөндеу және оларға техникалық қызмет көрсету</t>
  </si>
  <si>
    <t xml:space="preserve">Өнеркәсіптік және жартылай өнеркәсіптік кондиционерлерге техникалық қызмет көрсету </t>
  </si>
  <si>
    <t xml:space="preserve">Ақпараттық жүйені пайдаланғаны үшін консультациялық қызмет көрсету </t>
  </si>
  <si>
    <t xml:space="preserve">Ақпараттық жүйені тиісті деңгейде пайдаланғаны үшін консультациялық қызмет көрсету </t>
  </si>
  <si>
    <t>Terrasoft XRM техникалық қолдау көрсету</t>
  </si>
  <si>
    <t>АТС қызмет көрсету</t>
  </si>
  <si>
    <t>Автоматты телефон стансаларына техникалық қызмет көрсету және жөндеу жұмыстары бойынша қызмет көрсету</t>
  </si>
  <si>
    <t xml:space="preserve"> IP АТС,оған қоса Call-орталығына техникалық қолдау көрсету</t>
  </si>
  <si>
    <t>Желілік жабдықтарды жөндеу және оларға қызмет көрсету</t>
  </si>
  <si>
    <t xml:space="preserve"> Cisco smartnet 8x5xnbd желілік жабдыққа техникалық қолдау көрсету</t>
  </si>
  <si>
    <t>Құрылымдалған кабель жүйелерін жобалау және әзірлеу бойынша қызмет көрсету</t>
  </si>
  <si>
    <t xml:space="preserve"> компьютерлік, телефон, мультимедиялық және  сандық және  аналогты басқару жүйесінің ақпаратын, бейне деректерді беруге арналған Кеңсенің немесе ғимараттың әмбебап көпфункционалды желілер масштабын жобалау және әзірлеу қызметтері  </t>
  </si>
  <si>
    <t xml:space="preserve"> желі жабдығын икемдеу бойынша қызметтер, желіні оңтайландыру, бастарту төзімділігін арттыру </t>
  </si>
  <si>
    <t>Бағдарламалық қамтамасыз етуді қолдану бойынша консультациялық қызмет</t>
  </si>
  <si>
    <t>«1С:Предприятие» ақпараттық-технологиялық құамтамасыз ету</t>
  </si>
  <si>
    <t>Электронды кезек жүйесін жөндеу және оған техникалық қызмет көрсету</t>
  </si>
  <si>
    <t xml:space="preserve"> электронды кезек жүйесіне қызмет көрсету</t>
  </si>
  <si>
    <t xml:space="preserve">  Жүйелік бағдарламалық қамьтамасыз етуді пайдалану құқығына лицензия беру бойынша көрсетілетін қызметтер</t>
  </si>
  <si>
    <t xml:space="preserve"> Аталмыш бағдарламалық қамтамасыздықты ЭВМ лицензиатында пайдалануға құқық беретін компьютерлік бағдарламалық қамтамасыз ету жүйесін пайдалану құқығына лицензия беру бойынша көрсетілетін қызметтер.Осы ретте лицензиат қандай да бір авторлық немесе мүліктік құқыққа ие болмайды</t>
  </si>
  <si>
    <t xml:space="preserve"> Enterprise Agreement Microsoft CoreCAL (CoreCAL ALNG LicSAPk MVL DvcCAL), оған қоса Software Assurance бағдарламасы бойынша бағдарламалық қамтамасыз етуді жалдау</t>
  </si>
  <si>
    <t xml:space="preserve"> Enterprise Agreement Microsoft SQL Server Standard (SQLSvrStdCore ALNG LicSAPk MVL 2Lic CoreLic), оған қоса Software Assurance бағдарламасы бойынша қосымша бағдарламалық өнімдерді жалдау</t>
  </si>
  <si>
    <t>Enterprise Agreement Microsoft System Center (SysCtrStd ALNG LicSAPk MVL 2Proc), оған қоса Software Assurance бағдарламасы бойынша қосымша өнімдерді жалдау</t>
  </si>
  <si>
    <t>Enterprise Agreement Microsoft Windows Remote Desktop (WinRmtDsktpSrvcsCAL ALNG LicSAPk MVL DvcCAL), оған қоса Software Assurance бағдарламасы бойынша қосымша бағдарламалық өнімдерді жалдау</t>
  </si>
  <si>
    <t>Дизель-генераторларға техникалық қызмет көрсету</t>
  </si>
  <si>
    <t>Бас кеңсенің ДГБ қызмет көрсету</t>
  </si>
  <si>
    <t>Өрт дабылдамасына техникалық қызмет көрсету</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</si>
  <si>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</si>
  <si>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Өрт дабылдамасына қызмет көрсету</t>
  </si>
  <si>
    <t>Күзет дабылдамасына техникалық қызмет көрсету</t>
  </si>
  <si>
    <t>Күзет дабылдамасына қызмет көрсету</t>
  </si>
  <si>
    <t>Бейнебақылау жүйесіне техникалық қызмет көрсету</t>
  </si>
  <si>
    <t>Бейнебақылау жүйесіне қызмет көрсету</t>
  </si>
  <si>
    <t>Қолжеткізуді бақылау жүйесіне қызмет көрсету</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</si>
  <si>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</si>
  <si>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</si>
  <si>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ақпарат қауіпсіздігін қамтамасыз ету бойынша көрсетілетін қызметтер</t>
  </si>
  <si>
    <t xml:space="preserve">ақпарат қауіпсіздігін қамтамасыз ету </t>
  </si>
  <si>
    <t>ақпарат қауіпсіздігі бойынша бағдарламалық қамтамасыз етуге қызмет көрсету</t>
  </si>
  <si>
    <t>Лифті жөндеу және оған техн.қызмет көрсету</t>
  </si>
  <si>
    <t>Шлагбаумды жөндеу</t>
  </si>
  <si>
    <t>Вентиляция және кондиционерлеу жүйесіне техникалық қызмет көрсету</t>
  </si>
  <si>
    <t>тұрмыстық кондиционерлерге техн. қызмет көрсету және оларды жөндеу</t>
  </si>
  <si>
    <t>Мастер шақыру, қондырғысын жөндеу, кодты ауыстыру, орнату және жауып тастау, құлыпқа арнайы кілт дайындау, профилактика, ашу</t>
  </si>
  <si>
    <t xml:space="preserve"> автомобильдердің мотор бөлігін және жеңіл автокөлік құралдарына диагностика</t>
  </si>
  <si>
    <t xml:space="preserve"> жеңіл автомашиналарды жөндеу және оларға қызмет көрсету</t>
  </si>
  <si>
    <t xml:space="preserve"> жол көлік құралдарын техникалық бақылау (қарап шығу) қызметтері</t>
  </si>
  <si>
    <t>Металл емес жабулармен жабу бойынша көрсетілетін қызметтер</t>
  </si>
  <si>
    <t>Пластмассалық жабуларды жабу, эмаль, лак жағу</t>
  </si>
  <si>
    <t>Тұрақты белгілеу</t>
  </si>
  <si>
    <t>фирмалық бланкілер дайындау</t>
  </si>
  <si>
    <t>түптеу қызметері</t>
  </si>
  <si>
    <t>визиткалар дайындау</t>
  </si>
  <si>
    <t>есік маңдайшаларын дайындау</t>
  </si>
  <si>
    <t>мөртабан, мөр, факсимеле дайындау</t>
  </si>
  <si>
    <t>Типографиялық қызметтер</t>
  </si>
  <si>
    <t>Визит карталарын дайындау мен баспадан шығару қызметтері</t>
  </si>
  <si>
    <t>Релефті штаптар мен мөрлерге пластина және клише дайындау  қызметтері</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</si>
  <si>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</si>
  <si>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</si>
  <si>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Жалпы мазмұндық хабарландыруларды бұқараттық ақпарат құралдарына орналастыру қызметтері</t>
  </si>
  <si>
    <t>Сатып алу хабарландыруларын  бұқараттық ақпарат құралдарына орналастыру қызметтері</t>
  </si>
  <si>
    <t>Қызметкерлердің біліктіліктілігін арттыруға бағытталған шығындар</t>
  </si>
  <si>
    <t>Жүргізушісі бар жеңіл автомобиль жалдау қызметі</t>
  </si>
  <si>
    <t>Жүргізушісі бар жеңіл автомобиль жалдау</t>
  </si>
  <si>
    <t>БК үшін автомашина жалдау</t>
  </si>
  <si>
    <t>қызметкерлерді сауықтыруға бағытталған қызметтер</t>
  </si>
  <si>
    <t>Спорт және спортпен сауықтандыру саласындағы басқа да іс-шаралық қызметтер</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</si>
  <si>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</si>
  <si>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футбол алаңын жалдау бойынша қызметтер</t>
  </si>
  <si>
    <t>Ғимаратты комплексті жинау қызметтері</t>
  </si>
  <si>
    <t>Көшірме қызметі</t>
  </si>
  <si>
    <t>Тексттерді көбейту және көшіру қызметтері</t>
  </si>
  <si>
    <t>Өзге халықаралық топтарға кірістірілмеген өзге де жүктерді тасымалдау бойынша теміржол көлігінің қызметтері</t>
  </si>
  <si>
    <t>Өзге топтарға кірістірілмеген жүктерді темір жол арқылы халықаралық тасымалдаулар</t>
  </si>
  <si>
    <t>Жүктерді өңірлерге теміржолмен,әуе көлігімен және автомобиль көлігімен жеткізу бойынша қызметтер</t>
  </si>
  <si>
    <t>Нормативтік құжаттарды актуализациялау қызметтері</t>
  </si>
  <si>
    <t>Нормативтік құжаттарды актуалды жағдайға жеткізу қызметтері</t>
  </si>
  <si>
    <t>ТЖҚ БНА анықтамасын акуализациялау қызметтерінің құны</t>
  </si>
  <si>
    <t>Қазақстан Даму банкінің банктік сараптама өткізу бойынша қызметтері</t>
  </si>
  <si>
    <t xml:space="preserve">банк инвестициясымен байланысты қосымша өзге де қызметтер  </t>
  </si>
  <si>
    <t>құнды қағаз ұстаушылардың тізілімін жүргізу бойынша қызметтер</t>
  </si>
  <si>
    <t>64.19.14.50.30.00.00</t>
  </si>
  <si>
    <t>Услуги по ведению системы реестров держателей ценных бумаг</t>
  </si>
  <si>
    <t>Құнды қағаз ұстаушылардың тізілімін жүйелі жүргізу бойынша қызметтер</t>
  </si>
  <si>
    <t>Эстетикалық рәсімдеу қызметтері</t>
  </si>
  <si>
    <t>Ғимарат пен құрылысты мерекелік ресімдеу</t>
  </si>
  <si>
    <t>Ғимаратты мерекелік іс-шараларға  ресімдеу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</si>
  <si>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</si>
  <si>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</si>
  <si>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Жай ішін дератизациялау және дезинсекциялау қызметтері</t>
  </si>
  <si>
    <t>басып шығару қызметтері</t>
  </si>
  <si>
    <t>әртүрлі есептерді басу қызметтері</t>
  </si>
  <si>
    <t>жылдық есептің дизайнын, оның аударылуын, терілуін және дайындалуын әзірлеу бойынша қызметтер</t>
  </si>
  <si>
    <t>полиграфиямен байланысты өзге де қызметтер</t>
  </si>
  <si>
    <t>күнтізбе және өзге кеңсе баспа өнімдерін, оның ішінде имидждік өнімдерді әзірлеу, дайындау, теру және басуға дайындау бойынша қызметтер</t>
  </si>
  <si>
    <t xml:space="preserve"> брендтелген фирмалық корпоративтік өнімді дайындау қызметтері</t>
  </si>
  <si>
    <t xml:space="preserve"> оргтехника қоқыстарын шығарып тастау қызметі</t>
  </si>
  <si>
    <t>пайдаланылған оргтехниканы және оның жасақтарын жинау, пайдалану, орналастыру немесе жойып жіберу операцияларын орындау</t>
  </si>
  <si>
    <t>есептен шығарылған мүлікті кәдеге жарату қызметтері</t>
  </si>
  <si>
    <t>Банер дайындау мен баспадан шығару қызметтері</t>
  </si>
  <si>
    <t>Банер дайындау қызметтері</t>
  </si>
  <si>
    <t>бас кеңсе ғимаратын қорғау қызметі</t>
  </si>
  <si>
    <t xml:space="preserve">Корпоративтік іс-шаралар </t>
  </si>
  <si>
    <t xml:space="preserve"> Интернетке қолжеткізу бойынша қызметтер</t>
  </si>
  <si>
    <t>жеткізгіштер желілері бойынша Интернетке қолжеткізуге бағытталған қызметтер</t>
  </si>
  <si>
    <t>Интернет желісіне жылдамдығы 32 Мбит/ Unlimited-пен  қолжеткізу- бас кеңсе</t>
  </si>
  <si>
    <t>Интернет желісіне жылдамдығы 8Мбит/ Unlimited-пен  қолжеткізу- бас кеңсе</t>
  </si>
  <si>
    <t>Интернет желісіне жылдамдығы  2Мбит/ Unlimited-пен  қолжеткізу- аймақтық филиалдар</t>
  </si>
  <si>
    <t>телекоммуникациялық жеткізушілер желілерін ұсыну бойынша жеке желілер қызметтері</t>
  </si>
  <si>
    <t>телекоммуникациялық жеткізушілер желілерін ұсыну бойынша жеке желілер қызметтері, жергілікті және тіке желіні жалдау</t>
  </si>
  <si>
    <t>IP VPN шлюздің өткізу мүмкіндігімен 8 Мбит/с қолжеткішу қызметі - бас кеңсе</t>
  </si>
  <si>
    <t>IP VPN шлюздің өткізу мүмкіндігімен 512 Кбит/с қолжеткішу қызметі -аймақтық филиалдар</t>
  </si>
  <si>
    <t>телефон байланысы қызметтері</t>
  </si>
  <si>
    <t>белгіленген жергілікті, халықаралық, қалааралық телефон байланыс қызметте рі  - қолжеткізу және пайдалану</t>
  </si>
  <si>
    <t>Business Trunk үшін абоненттік төлем- бас кеңсе</t>
  </si>
  <si>
    <t>Business Trunk үшін абоненттік төлем- аймақтық филиалдар</t>
  </si>
  <si>
    <t>ақпараттық мониторинг қызметтері</t>
  </si>
  <si>
    <t xml:space="preserve"> IP VPN кеңейтілген мониторинг желісінің қызметіне қолжеткізу</t>
  </si>
  <si>
    <t>техникалық консультация беру қызметтері</t>
  </si>
  <si>
    <t>жобаларды іске асыру бойынша технологиялық шешімдерді бағалау (алайда шектелмейді) , жан-жақты талдау және ұсыныс әзірлеу кіретін қызметтер</t>
  </si>
  <si>
    <t>персоналдандырылған техникалық қолдау қызметін пайдаланғаны үшін абоненттік төлем</t>
  </si>
  <si>
    <t xml:space="preserve"> телефон (бас кеңсенің сондай желілері) үшін абонтөлем</t>
  </si>
  <si>
    <t xml:space="preserve"> Toll Free зияткерлік нөміп үшін абонплата</t>
  </si>
  <si>
    <t>Жаңаөзен қ. IP VPN арна үшін абоненттік төлем</t>
  </si>
  <si>
    <t>домендік ат ұсыну қызметі</t>
  </si>
  <si>
    <t>домендік ат ұсыну және оны пайдалануды ұзарту қызметі</t>
  </si>
  <si>
    <t>домен аттарын қолдау</t>
  </si>
  <si>
    <t>Интернет желісінде (хостинг) үнемі тұратын ақпаратты серверге орналастыру үшін есептеу қуаттылығын ұсыну қызметтері</t>
  </si>
  <si>
    <t>хостинг қызметтері</t>
  </si>
  <si>
    <t>Арнайы байланыс қызметтері</t>
  </si>
  <si>
    <t>Кабельді теледидар қызметтері</t>
  </si>
  <si>
    <t>Телебағдарламаларды тарату қызметтері</t>
  </si>
  <si>
    <t>Ақпараттық телебағдарламаларды тікелей эфирде тарату қызметтері</t>
  </si>
  <si>
    <t>сумен қамтамасыз ету және канализацияны пайдалану қызметі</t>
  </si>
  <si>
    <t xml:space="preserve">Орталық жүйені пайдалана отырып суық сумен қамтамасыз ету </t>
  </si>
  <si>
    <t xml:space="preserve">Орталық жүйені пайдалана отырып суық суды беру, тарату қызметтері </t>
  </si>
  <si>
    <t>мерзімдік өзге басылымдарға жазылу қызметі</t>
  </si>
  <si>
    <t>"Head Hunter" сайтына жазылу</t>
  </si>
  <si>
    <t>Мерзімдік өзге басылымдарға жазылу қызметі</t>
  </si>
  <si>
    <t>ПАРАГРАФ (ЮРИСТ) ақпараттық жүйе</t>
  </si>
  <si>
    <t>Арнайы әдебиет сатып алу</t>
  </si>
  <si>
    <t>Нарықты оқып үйрену бойынша қызметтер: нақты жағдайлар үшін сандық шолулар</t>
  </si>
  <si>
    <t xml:space="preserve"> Еңбек ақыға шолу жасау</t>
  </si>
  <si>
    <t>Менеджемент жүйесін сертификаттау бойынша қызметтер</t>
  </si>
  <si>
    <t>Өзге топтарға кірістірілмеген тағы басқалар</t>
  </si>
  <si>
    <t>Сапа менеджменті жүйесін енгізу бойынша қызметтер</t>
  </si>
  <si>
    <t>Повышение квалификации на курсах по управлению персоналом</t>
  </si>
  <si>
    <t>Персоналды басқару курстарында біліктілікті арттыру бойынша қызметтер</t>
  </si>
  <si>
    <t xml:space="preserve">Персоналды басқару курстарында біліктілікті арттыру </t>
  </si>
  <si>
    <t xml:space="preserve">Жекебас  профилін жұмысқа жаңадан қабылданатын жұмыскерлер және кадр резервистері бойынша мамандандырылған бағалау жүйесі арқылы талдау (Томас жүйесі) </t>
  </si>
  <si>
    <t>компанияның құрылымдық бөлімшелерінің қызметін немесе жалпы компанияны бағалау бойынша консультациялық қызметтер кешені</t>
  </si>
  <si>
    <t xml:space="preserve">16 өңірлік филиалдарға мамандандырылған бағалау жүйесі арқылы командалық аудит жүргізу (Томас жүйесі) </t>
  </si>
  <si>
    <t>қарыз алушылардың кредит тарихы туралы есеп ұсыну бойынша қызметтер</t>
  </si>
  <si>
    <t>Кредит бюросының қызметтері</t>
  </si>
  <si>
    <t>Қызметті бағалау бойынша консультациялық қызмет</t>
  </si>
  <si>
    <t>Қарыз алушылардың кредит тарихы туралы есеп ұсыну бойынша қызметтер</t>
  </si>
  <si>
    <t>зейнеткерлік жарналар жүйесі бойынша ақпарат беру бойынша қызметтер</t>
  </si>
  <si>
    <t>ЗТМО-дан көшірме үзінді алу жөніндегі Кредит бюросының қызметтері</t>
  </si>
  <si>
    <t>Өзге дереккөздерден ақпараттық қызметтер алу</t>
  </si>
  <si>
    <t>Аудиторлық қызметтер</t>
  </si>
  <si>
    <t>Брокерлік қызметтер және құнды қағаздарды атаулы ұстау</t>
  </si>
  <si>
    <t>Салық аудиті</t>
  </si>
  <si>
    <t>69.20.10.10.00.00.00</t>
  </si>
  <si>
    <t>Услуги по проведению ревизий финансовых</t>
  </si>
  <si>
    <t>Услуги по проведению ревизий финансовых (аудита)</t>
  </si>
  <si>
    <t>Қаржылық ревизия жүргізу қызметтері</t>
  </si>
  <si>
    <t>Қаржылық ревизия жүргізу қызметтері (аудит)</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</si>
  <si>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</si>
  <si>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</si>
  <si>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</si>
  <si>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Салық салу саласындағы аудит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</si>
  <si>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</si>
  <si>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66.12.11.00.00.00.01</t>
  </si>
  <si>
    <t>Услуги по брокерским операциям с ценными бумагами</t>
  </si>
  <si>
    <t>Услуги по брокерским операциям с ценными бумагами, осуществляемые за собственный счет</t>
  </si>
  <si>
    <t>Бағалы қағаздармен опрациялар жүргізудегі брокерлік қызметтер</t>
  </si>
  <si>
    <t>қызметкерлерді медициналық ерікті сақтандыру</t>
  </si>
  <si>
    <t xml:space="preserve">Қызметкерлер және оның жануя мүшелерін аурудан медициналық сақтандыру </t>
  </si>
  <si>
    <t>Аурудан сақтандыру қызметтері</t>
  </si>
  <si>
    <t>Қордың әкімшілік ғимаратын сақтандыру</t>
  </si>
  <si>
    <t>Мүлікті  сақтандыру бойынша қызметтер</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</si>
  <si>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</si>
  <si>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Қор  автомашиналарын орталықтандырылған ерікті сақтандыру</t>
  </si>
  <si>
    <t>Автокөлікті ерікті  сақтандыру бойынша қызметтер</t>
  </si>
  <si>
    <t>Мүлікті бағалау қызметі</t>
  </si>
  <si>
    <t>Мүлікті бағалау бойынша кешенді қызметтер</t>
  </si>
  <si>
    <t>Бағалау бойынша көрсетілетін қызметтер</t>
  </si>
  <si>
    <t>аударма қызметі</t>
  </si>
  <si>
    <t>Бір тілден екінші тілге жазбаша аудару қызметі</t>
  </si>
  <si>
    <t>Бір тілден екінші тілге жазбаша аудару</t>
  </si>
  <si>
    <t>Аударма қызметі</t>
  </si>
  <si>
    <t>Маркетингтік қызметтер</t>
  </si>
  <si>
    <t xml:space="preserve">Өндіріс, тауар, жұмыс, қызметтер айналымы саласындағы зерттеумен, жоспарлаумен және болжамдаумен байланысты қызметтер </t>
  </si>
  <si>
    <t>Шағын және орта кәсіпкерлік субъектілерінің даму ахуалын маркетингтік зерттеулер қызметі</t>
  </si>
  <si>
    <t>Мемлекеттік қолдау шараларын БАҚ толықтай жариялау</t>
  </si>
  <si>
    <t>18.12.12.10.00.00.00</t>
  </si>
  <si>
    <t>Жарнамалық каталогтар, проспекттер, постерлер және басқа да жарнамалық өнімдерді жасаудағы баспалық қызметтері</t>
  </si>
  <si>
    <t xml:space="preserve"> ақпараттық-талдамалық матриалдар кешенін дайындау (пресс-кит)</t>
  </si>
  <si>
    <t>Бұқаралық ақпарат құралдары арқылы жаңалықтар, фотосуреттер, видео және басқа да аудиовизуалды ақпараттық агенттік қызметтері</t>
  </si>
  <si>
    <t>Бұқаралық ақпарат құралдары арқылы аудиовизуалды қызмет көрсететін ақпараттық агенттік қызметтері</t>
  </si>
  <si>
    <t>Басқа топтамаларда көрсетілмеген фотосурет саласындағы қызметтер</t>
  </si>
  <si>
    <t>аймақтық және республикалық БАҚ инфографиканы (ұлбалар мен суреттердің) дайындау және орналастыру</t>
  </si>
  <si>
    <t>кәсіпкерлерге мемлекеттік қолдау ұсыну шарттарын түсіндіру үшін, Call-орталығының- Оператордың қызметін ұйымдастыру</t>
  </si>
  <si>
    <t>Телефон анықтамалық орталықтарының қызметтері</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</si>
  <si>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</si>
  <si>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ШОБ  секторы бойынша үнемі берілетін есептерді , оған қоса Қазақстандағы және оның өңірлеріндегі ШОБ даму ахуалы туралы жылсайынғы есепті әзірлеу</t>
  </si>
  <si>
    <t>Басып шығару қызметтері</t>
  </si>
  <si>
    <t>Әртүрлі есептерді басу қызметтері</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</si>
  <si>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</si>
  <si>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</si>
  <si>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Телебағдарламаларды дайындау қызметтері</t>
  </si>
  <si>
    <t>Магниттық лентаға немесе басқа да техникалық тасмалдағыштар арқылы ақпараттық телебағдарламаларды дайындау және тарату</t>
  </si>
  <si>
    <t>Конкурстарды өткізу қызметтері</t>
  </si>
  <si>
    <t>Конкурстарды қосалқы қызметтері мен ұйымдастыр және өткізу</t>
  </si>
  <si>
    <t>Полиграфиямен байланысты өзге де қызметтері</t>
  </si>
  <si>
    <t>Басқа да телебағдарламаларды дайындау қызметтері</t>
  </si>
  <si>
    <t>Форум өткізу қызметтері</t>
  </si>
  <si>
    <t>Форум ұйымдастыру бойынша қызметтер кешені (мамандарды шақыра отырып, форум өткізу, оқыту, тренингтер, іскерлік ойындар, семинарлар өткізу)</t>
  </si>
  <si>
    <t>«Іскерлік байланыстар» жобасы бойынша оқу бағдарламасын әзірлеу</t>
  </si>
  <si>
    <t>Интернет сайттарын өңдеу қызметтері</t>
  </si>
  <si>
    <t>Сайттарды жасау, қолдау және жұмыс жағдайында ұстау қызметтері</t>
  </si>
  <si>
    <t xml:space="preserve">Әлеуметтік желілерде қоғамдар құру, форумдарды, интернет блогтарды, сайттарда кәсіпкерлікке байланысты каналдарды жүргізу  </t>
  </si>
  <si>
    <t>Мамандар мен  басшылардың менеджмен мәселелері бойынша біліктіліктерін арттыру қызметтері</t>
  </si>
  <si>
    <t>Мамандар мен  басшылардың менеджмен мәселелері бойынша біліктіліктерін арттыру</t>
  </si>
  <si>
    <t>Туристік агенттіктердің көліктерге алдын ала тапсырыс беру қызметтері</t>
  </si>
  <si>
    <t>Заңды және жеке тұлғалар үшін көліктерге алдын ала тапсырыс беру басқа  да қызметтері</t>
  </si>
  <si>
    <t>Шет ел оқытушы құрамы бойынша көлік шығындары</t>
  </si>
  <si>
    <t xml:space="preserve">оқу материалдарын дайындау </t>
  </si>
  <si>
    <t>Адресат тізбесін жасау және сол арқылы материалдарды жолдау</t>
  </si>
  <si>
    <t>Адресат тізбесін жасау және сол арқылы материалдарды жолдау қызметтері</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</si>
  <si>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</si>
  <si>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вэб-семинарлар өткізу, онлайн консультация, бағдарламаның интернет ресурсына қызмет көрсету</t>
  </si>
  <si>
    <t>тағылымдама үміткерлерінің сауалнамаларын жинау, ұсынылған сауалнамаларға алдын ала скрининг</t>
  </si>
  <si>
    <t>ҚР экономика саласындағы басшы жұмыскерлер мен менеджерлердің біліктілігін арттыру бағдарламасының қазақстан-германия басқару комитетінің кезекті отырысын ұйымдастыруға қатысу. Қазақстан-Германия басқарушылық комитетін өткізу</t>
  </si>
  <si>
    <t>Іс шараларға қатысу қызметтері</t>
  </si>
  <si>
    <t>Іс шараларға қатысу үшін төлем төлеу (көрме, конференция, бағдарламалар, форумдар, симпозиумдар және т.б) және басқа да осындай іс шаралармен байланысты шығындарды төлеу</t>
  </si>
  <si>
    <t>Ұшақ орындарына алдын ала тапсырыс беру қызметтері</t>
  </si>
  <si>
    <t xml:space="preserve">Жеке тұлғалар мен заңды тұлғалар үшін ұшақ орындарына алдын ала тапсырыс беру қызметтері </t>
  </si>
  <si>
    <t>Конференция ұйымдастыру қызметтері</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</si>
  <si>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</si>
  <si>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Ақпараттық мониторинг қызметтері</t>
  </si>
  <si>
    <t>«Іскерлік байланыстар» жобасының іске асырылуына мониторинг өткізу</t>
  </si>
  <si>
    <t xml:space="preserve"> Атқарушы өкілінің Германиядағы Серіктестік конференциясына қатысуы</t>
  </si>
  <si>
    <t>Бейтарап сарапшылардың қызметі</t>
  </si>
  <si>
    <t>Әр түрлі ұйымдардан шақырылатын бейтарап сарапшылардың қызметі</t>
  </si>
  <si>
    <t>Сайттарды ақпараттық қамсыздандыру қызметтері</t>
  </si>
  <si>
    <t>Сайт тексттеріне өзгерістер, толықтырулар, графикалық элементтер енгізу қызметтері</t>
  </si>
  <si>
    <t>сайтты мемлекеттік тілде контент-қолдау (екі м аманға есептеп)</t>
  </si>
  <si>
    <t>сайтты орыс тілінде контент-қолдау (екі маманға есептеп)</t>
  </si>
  <si>
    <t>Сайтты жұмыс істей алатын жағдайда техникалық жағынан қолдау, оның функционалдық мүмкіндіктерін жақсарту бойынша қызметтер</t>
  </si>
  <si>
    <t xml:space="preserve">Сайтты жұмыс істей алатын жағдайда техникалық жағынан қолдау </t>
  </si>
  <si>
    <t>сайтқа техникалық қолдау көрсету</t>
  </si>
  <si>
    <t>нормативтік құжаттардың деректер базасы</t>
  </si>
  <si>
    <t>кәсіпкерлер үшін бизнес-порталды жаңғырту</t>
  </si>
  <si>
    <t>кітап басып шығару қызметтері</t>
  </si>
  <si>
    <t>ҚР Статистика жөніндегі агенттіктің  деректер қорын Қордың ГАЖ экспорттау бойынша қызметтер</t>
  </si>
  <si>
    <t>франчайзинг бойынша ақпараттық-әдістемелік сипаттағы брошураларды әзірлеу және тираждау</t>
  </si>
  <si>
    <t xml:space="preserve">франчайзинг нарығын зерделеу және талдау бойынша қызметтер </t>
  </si>
  <si>
    <t>Тауар жеткізу, қымет атқару, жұмыстарды атқару нарығын талдау</t>
  </si>
  <si>
    <t>Нарықты оқып үйрену және талдау қызметтері</t>
  </si>
  <si>
    <t>ЖКМ жарнамалық материалдарын әзірлеу және тираждау бойынша қызметтер</t>
  </si>
  <si>
    <t>"Бизнес-Кеңесші-2" жобасы аясында "Оқытушыларды оқыту" мастер-класс ұйымдастыру және өткізу бойынша қызметтер</t>
  </si>
  <si>
    <t>брошураларды, құжаттама журналдары мен сол сияқты өнімдер басып шығару бойынша қызметтер</t>
  </si>
  <si>
    <t>таратпа материалдарды дайындау бойынша қызметтер</t>
  </si>
  <si>
    <t xml:space="preserve">өңірлердің басымдықты салаларында қолданбалы маркетингтік зерттеулер қызметтері </t>
  </si>
  <si>
    <t>Үлгі  бизнез-жоспарлар әзірлеу</t>
  </si>
  <si>
    <t>Коммерциялық және кәсіпкерлік ұйымдардың қызметтері</t>
  </si>
  <si>
    <t>Сыртқы жарнаманы орналастыру бойынша қызметтер</t>
  </si>
  <si>
    <t>плакаттарға</t>
  </si>
  <si>
    <t>"Бизнес-Кеңесші" бағдарламасы бойынша жарнамалық плакаттар дайындау бойынша қызметтер</t>
  </si>
  <si>
    <t>Орыс тілінен қазақ тіліне аудару қызметтері</t>
  </si>
  <si>
    <t>орыс тілінен қазақ тіліне жазбаша аударма</t>
  </si>
  <si>
    <t xml:space="preserve">тәуелсіз сарапшылардың Қордың Бизнес-Кеңесші жобасы бойынша жылдық есебіне қорытынды әзірлеу бойынша қызметері </t>
  </si>
  <si>
    <t>"Бизнес-Кеңесші" жобасының тиімділігіне талдау жүргізу</t>
  </si>
  <si>
    <t>телеарналарда бейнесюжеттер дайындау және көрсету қызметтері</t>
  </si>
  <si>
    <t xml:space="preserve"> «Бизнес-Кеңесші-2» жобасы бойынша жарнамалық бейнеролик жасау</t>
  </si>
  <si>
    <t>плакаттарда</t>
  </si>
  <si>
    <t>Форум ұйымдастыру бойынша қызметтер</t>
  </si>
  <si>
    <t>Форум ұйымдастыру бойынша кешенді қызметтер ( мамандарды шақырып форум өткізу, тренингтер, іскерлік ойындар, семинарлар өткізу)</t>
  </si>
  <si>
    <t>шағын қалалардағы Кәсіпкерлікті қолдау орталықтары үшін таратпа материалдардың дизайнын жасау және басып шығару қызметтері</t>
  </si>
  <si>
    <t>Жүргізушісімен бірге жеіңл автокөлікті жалға алу қызметтері</t>
  </si>
  <si>
    <t>Жеіңл автокөлікті жалға беру жүргізуші қызметімен бірге</t>
  </si>
  <si>
    <t>Астана қ. Автокөлік жалдау</t>
  </si>
  <si>
    <t>710000000</t>
  </si>
  <si>
    <t>231000000</t>
  </si>
  <si>
    <t>271000000</t>
  </si>
  <si>
    <t>391600000</t>
  </si>
  <si>
    <t>392400000</t>
  </si>
  <si>
    <t>751710000</t>
  </si>
  <si>
    <t>515420100</t>
  </si>
  <si>
    <t>511000000</t>
  </si>
  <si>
    <t>111000000</t>
  </si>
  <si>
    <t>Заңды тұлғалардың мүлкін қорғау бойынша күзетшілер қызметтері</t>
  </si>
  <si>
    <t>кепілзат мүлкін қорғау қызметі</t>
  </si>
  <si>
    <t>КҚМО автобусын жуу, әрлеу және т.с.с. Қызметтер</t>
  </si>
  <si>
    <t>Машиналарды жуу, әрлеу және т.с.с. Кызметтер</t>
  </si>
  <si>
    <t>Автомашиналарды жуу бойынша қызметтер</t>
  </si>
  <si>
    <t xml:space="preserve"> Кызметтік машиналарды жуу қызметі</t>
  </si>
  <si>
    <t>Нысандарға кешенді қызмет көрсету</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</si>
  <si>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</si>
  <si>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Ғимаратқа қызмет көрсету (қора тазалаушының , ағаш ұстасының, электриктің қызметтері)</t>
  </si>
  <si>
    <t>Форум ұйымдастыру қызметі</t>
  </si>
  <si>
    <t>Пресс-тур ұйымдастыру қызметі</t>
  </si>
  <si>
    <t>Шыға отырып қызмет көрсету (кейтеринг)</t>
  </si>
  <si>
    <t>Кофе-брейк ұйымдастыру бойынша қызметтер</t>
  </si>
  <si>
    <t>Организация и проведение кофе-брейков</t>
  </si>
  <si>
    <t>Қосымша ағартушылық қызметтер</t>
  </si>
  <si>
    <t>Лекторлар іріктеу қызметі және оларды "Бизнес- Кеңесші" бағдарламсының іске асырылуына қатысуын қамтамасыз ету</t>
  </si>
  <si>
    <t>Лекторлар іріктеу қызметі және оларды "Бизнес- Кеңесші 2" бағдарламсының іске асырылуына қатысуын қамтамасыз ету қызметтері</t>
  </si>
  <si>
    <t>Сыйақы үшін немесе шарт негізінде ұсынылатын жылжымайтын мүлікті бағалау/сараптау бойынша қызметтер</t>
  </si>
  <si>
    <t>Кепілзат мүлкін бағалау қызметі</t>
  </si>
  <si>
    <t>Әкімшілік кеңсесінің кешенді қызметтері</t>
  </si>
  <si>
    <t xml:space="preserve">Шарт негізінде немесе үнемі төлеп отыру негізінде әкімшілік кеңсе қызметтерінің күнделікті кешенді қызметтері (хат-хабарларды алу, қаржылық жоспарлау, төлемге шот ұсыну, услуги в отношении персонал мен постағы қызметтерге қатысты қызметтер) </t>
  </si>
  <si>
    <t>Ресепшн үшін персонал ұсыну қызметі</t>
  </si>
  <si>
    <t>Өзге топтарға кірістірілмеген ақпараттық қызметтер</t>
  </si>
  <si>
    <t>Ақпаратық қызмет өзге қызмет түрлері</t>
  </si>
  <si>
    <t>Анықтамалық, статистикалық, аналитикалық ақпарат беру және құжаттарды тіркеу қызметтері</t>
  </si>
  <si>
    <t>Автомобиль көліктері үшін қосымша өзге қызметтер</t>
  </si>
  <si>
    <t>Аймақтық филиалдың автокөлік жүргізушілерінің қызметтері</t>
  </si>
  <si>
    <t>КҚМО  автобусын жөндеу қызметі</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</si>
  <si>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</si>
  <si>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</si>
  <si>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Автокөлікке техникалық қызмет көрсету (май, сұйықтықты, тежеуіш қалыптарын, оталдыру білтесін, белдіктерді  ауыстыру)</t>
  </si>
  <si>
    <t>Жеңіл машиналарды жөндеу және оларға қызмет көрсету</t>
  </si>
  <si>
    <t>Кеңсе жабдықтарына техникалық қызмет көрсету және жөндеу жұмыстарын жүргізу</t>
  </si>
  <si>
    <t>Негізгі құралдар мен бейматериал активтерді жөндеу және оларға қызмет көрсету</t>
  </si>
  <si>
    <t>Кеңсе машиналары мен жабдықтарына техникалық қызмет көрсету және жөндеу жұмыстарын жүргізу</t>
  </si>
  <si>
    <t>КҚКО оргтехникасына техникалық қызмет көрсету</t>
  </si>
  <si>
    <t>Ғимаратты жалпы жиыстыру қызметі</t>
  </si>
  <si>
    <t>Ғимаратты жалпы жиыстыру</t>
  </si>
  <si>
    <t>Жайларды жалпы жиыстыру қызметі</t>
  </si>
  <si>
    <t>Телефон байланысы қызметі</t>
  </si>
  <si>
    <t>Белгіленген жергілікті, қалааралық, халықаралық телефон байланысы - қолжеткізу және пайдалану қызметтері</t>
  </si>
  <si>
    <t>Қордың проблемалы несие портфелі бойынша берешекті өндіріп алуға қызмет көрсету үшін өзге ұйымдардың қызметтері</t>
  </si>
  <si>
    <t>Төлемқабілетсіздікке және берешекті өндіріп алуға байланысты қызметтер</t>
  </si>
  <si>
    <t>КҚМО автобусы үшін тұрақ қызметі</t>
  </si>
  <si>
    <t>Автокөлік үшін тұрақтар қызметі</t>
  </si>
  <si>
    <t>Автокөліктер үшін тұрақ қызметі</t>
  </si>
  <si>
    <t>Файлдар</t>
  </si>
  <si>
    <t>Шам</t>
  </si>
  <si>
    <t>ГОСТ 4677-82,  тока көзі Б-с құрғақ электрохимикалық элементермен</t>
  </si>
  <si>
    <t>Сандық камера</t>
  </si>
  <si>
    <t>Ауыспалы оптикалы. Ұзақ өзшемді. Тиімді пикселдер:  22 млн -нан бастап, одан да көбірек.</t>
  </si>
  <si>
    <t>Құрылған оптикасымен бірге. Қолайлы. Тиімді пикселдер: 12 ден 14 млн.</t>
  </si>
  <si>
    <t>Айналық фотоаппарат</t>
  </si>
  <si>
    <t>Құрылған оптикасымен бірге. Қолайлы. Тиімді пикселдер: 14 ден 16 млн.</t>
  </si>
  <si>
    <t>Киім шкафы</t>
  </si>
  <si>
    <t>Құжаттарға арналған шкаф</t>
  </si>
  <si>
    <t>Құжаттарға арналған темір шкаф</t>
  </si>
  <si>
    <t>Бух. темір шкаф</t>
  </si>
  <si>
    <t>Құжаттарға арналған сөрелі шкаф</t>
  </si>
  <si>
    <t xml:space="preserve">Құжаттарға арналған әйнекті шкаф </t>
  </si>
  <si>
    <t>Темір шкаф</t>
  </si>
  <si>
    <t>Құжаттарға арналған  шкаф</t>
  </si>
  <si>
    <t>Папкаларға арналған шкаф</t>
  </si>
  <si>
    <t>Шкаф металлический, архивный</t>
  </si>
  <si>
    <t>Темір мұражайлық шкаф</t>
  </si>
  <si>
    <t>ЛДСПдан жасалған шкаф. Қаңқасы орталық сөресімен. Шкафтың жоғарғы жағында әйнекті есіктерімен. Жоғарғы жағында аспалы 2 сөресі бар</t>
  </si>
  <si>
    <t>Мұражайлық темір шкаф, құйылмалы конструкция, замок, сөрелері реттелмелі, полимермен қапталған, екі есікті</t>
  </si>
  <si>
    <t>Электроэнергияны сату бойынша агенттердің қызметтері, электр тарататын желілерден, басқа бірліктермен шығарылған</t>
  </si>
  <si>
    <t>Электрқуатын пайдалану, электрмен қамсыздандыру және ыстық сумен жіберу</t>
  </si>
  <si>
    <t>МКҚО автобустарына автошина</t>
  </si>
  <si>
    <t>Мөлшері:235/55R18.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18. Жазға арналған шина</t>
  </si>
  <si>
    <t>Жеңіл автокөлікке арналған автошина</t>
  </si>
  <si>
    <t>Қызметтік авто көлікке аккумулятор</t>
  </si>
  <si>
    <t>МКҚО автобусы үшін аккумулятор</t>
  </si>
  <si>
    <t>Аккумулятор</t>
  </si>
  <si>
    <t>ГОСТ 959-2002 марка 6СТ-120| кислотный, стартерный, напряжением 12 В, емкостью 120 А*час</t>
  </si>
  <si>
    <t>ГОСТ 959-2002 маркасы 6СТ-120| күкір қышқылды, стартерлі, қуаты 12 В, көлемі 120 А*сағат</t>
  </si>
  <si>
    <t>Бухгалтерлік темір шкаф, құйылмалы конструкция, болат, 2 алмалы сөрелерімен, құлып, полимермен қапталды</t>
  </si>
  <si>
    <t>Жұмыс үстелі</t>
  </si>
  <si>
    <t>Қызметкер креслосы</t>
  </si>
  <si>
    <t xml:space="preserve">Диван - Софа </t>
  </si>
  <si>
    <t>Үстел комп.-принт</t>
  </si>
  <si>
    <t>Мобильді тумба</t>
  </si>
  <si>
    <t>Кресло, натуральная кожа с деревянными подлокотниками</t>
  </si>
  <si>
    <t>Былғары кресло. Шынтақсүйегіші мен аяқтары ағаштан.</t>
  </si>
  <si>
    <t xml:space="preserve">Кресло, натуральная кожа </t>
  </si>
  <si>
    <t>Былғарыдан жасалға кресло</t>
  </si>
  <si>
    <t>Домалақ кресло</t>
  </si>
  <si>
    <t>Кресло круглое</t>
  </si>
  <si>
    <t>Қабылдау бөлмесіне үстел</t>
  </si>
  <si>
    <t>Директор кабинетіне диван</t>
  </si>
  <si>
    <t>КҚО кондиционерлер</t>
  </si>
  <si>
    <t>31.01.12.00.00.01.01.05.2</t>
  </si>
  <si>
    <t>Жиһаз гарнитуры</t>
  </si>
  <si>
    <t>Басшы жиһазы</t>
  </si>
  <si>
    <t>Консультации по экспортно-импортным операциям/ таможенному законодательству</t>
  </si>
  <si>
    <t>Экспорт-импорт операциялары/кеден заңнамалары бойынша кеңестер</t>
  </si>
  <si>
    <t>Журнал үстелі</t>
  </si>
  <si>
    <t>Проекциялық аппарат</t>
  </si>
  <si>
    <t>Проекционный аппарат</t>
  </si>
  <si>
    <t>мультимедиалы (сандық)</t>
  </si>
  <si>
    <t>Мультимедийный (цифровой)</t>
  </si>
  <si>
    <t>Мультимедиялы проектор</t>
  </si>
  <si>
    <t>Пакетті, кеңсе сериясынан</t>
  </si>
  <si>
    <t>Пакетный, офисной серии</t>
  </si>
  <si>
    <t>28.99.11.00.00.00.01.01.1</t>
  </si>
  <si>
    <t>Оборудование переплетное, включая брошюровочные машины</t>
  </si>
  <si>
    <t>Машины фальцевальные для обработки листов и тетрадей</t>
  </si>
  <si>
    <t>Түптеу құрылғысы, брошюрлау машиналарын қосқанда</t>
  </si>
  <si>
    <t>Парақтар мен дәптерлерді өңдеуге арналға бүктеу машинасы</t>
  </si>
  <si>
    <t>Түптеу машинасы</t>
  </si>
  <si>
    <t>Үстел приставкасымен (директор кабинетіне)</t>
  </si>
  <si>
    <t>Қызметкерлердің жұмыс үстелі</t>
  </si>
  <si>
    <t>Тумба выкатная</t>
  </si>
  <si>
    <t>Жылжымалы тумба</t>
  </si>
  <si>
    <t>Ашылмалы үстел</t>
  </si>
  <si>
    <t>Кеңсе үстелі</t>
  </si>
  <si>
    <t>Қызметкерлердің кеңсе креслосы</t>
  </si>
  <si>
    <t>Конфернц зал үшін кресло</t>
  </si>
  <si>
    <t>Кеңсе диваны келушілер үшін</t>
  </si>
  <si>
    <t>Едендік кондиционер</t>
  </si>
  <si>
    <t>Мұражайлық сөрелер</t>
  </si>
  <si>
    <t>Құжаттарға арналған сөрелер</t>
  </si>
  <si>
    <t>Стеллаж для документов</t>
  </si>
  <si>
    <t>үстел</t>
  </si>
  <si>
    <t>Бұрышты үстел. ДСП жасалынған. Жүйелік блокқа арналған жапсырма үстелімен және аспалы тумбасы бар. Габариттері (ені/ұзындығы) 1000/1600 мм. Қисық желілі жұмыс панелі. Столешницаның жуандығы 15-30мм, ПВХ 2-4 мм</t>
  </si>
  <si>
    <t>Қабылдау бөлмесіне арналған ресепшен</t>
  </si>
  <si>
    <t>Тумбалар</t>
  </si>
  <si>
    <t>Басшы креслосы</t>
  </si>
  <si>
    <t>Кеңсе креслосы</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</si>
  <si>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</si>
  <si>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Былғары алмастырғыштан жасалған кеңсе креслосы. Аяқтары және қол тірегіштері ағаштан. Бұрылуға болатын көтеретін механизмі бар</t>
  </si>
  <si>
    <t>Былғары алмастырғыштан жасалған кеңсе креслосы. Аяқтары қара темірден. Орындық қол сүйегіштерінсіз</t>
  </si>
  <si>
    <t xml:space="preserve"> Бейнекамера</t>
  </si>
  <si>
    <t>Бейнебақылау үшін. Монохромды. Сыртта қолдану үшін</t>
  </si>
  <si>
    <t>Отын дизел</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</si>
  <si>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</si>
  <si>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</si>
  <si>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МКҚО автобустарына дизель отыны</t>
  </si>
  <si>
    <t>Жууға арналған смеситель</t>
  </si>
  <si>
    <t>ВМП типтес-  үйінді сырлаушыстерімен қапталған, едендерді лакбояуы бар құраммен сырлауға арналған, ГОСТ 10831-87</t>
  </si>
  <si>
    <t>Қол ара</t>
  </si>
  <si>
    <t>Ағашқа арналған ара</t>
  </si>
  <si>
    <t>По дереву</t>
  </si>
  <si>
    <t>Шыны жіптерден</t>
  </si>
  <si>
    <t xml:space="preserve">Из стеклянных нитей </t>
  </si>
  <si>
    <t>Күрек</t>
  </si>
  <si>
    <t>Үшкір басты қазуға арналған күрек (найза ұшты)</t>
  </si>
  <si>
    <t>Үшкір басты қазуға арналған күрек (найза ұшты), Жинауға арналған күрек (күрекше)</t>
  </si>
  <si>
    <t>Канцелярлық - қаламша желім</t>
  </si>
  <si>
    <t>Маркерлі-магнитті тақта</t>
  </si>
  <si>
    <t>Тақта-флипчарт</t>
  </si>
  <si>
    <t>Қысқыш</t>
  </si>
  <si>
    <t>Құлып</t>
  </si>
  <si>
    <t>Бұранда 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</si>
  <si>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</si>
  <si>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Кіліттік (сувальды, беріктігі жоғары)</t>
  </si>
  <si>
    <t xml:space="preserve"> Кеңсе машиналары мен жабдықтарын жөндеу және техникалық қызмет көрсету</t>
  </si>
  <si>
    <t>Кондиционерлерді сұйықтықпен қамтамасыз ету</t>
  </si>
  <si>
    <t>KX-A228XJ(KX-TA228XJ)  - қуат көзіне қосу үшін</t>
  </si>
  <si>
    <t>Қатты-жұмсақ грифелімен қара қаламдар</t>
  </si>
  <si>
    <t>Этилцианакрилата негізінде жасалға барлық заттарды жапыстыруға фарфор, керамика, ағаш, былғары, резина, темір, пробка, картон, пластиктің көп тірін</t>
  </si>
  <si>
    <t>Желім ПВА</t>
  </si>
  <si>
    <t>маркасы ДФ 50/5Н, ГОСТ 18992-80</t>
  </si>
  <si>
    <t>Резинадан жасалған ковралан</t>
  </si>
  <si>
    <t>Конверттер (А4)</t>
  </si>
  <si>
    <t>Формат C5 (162 х 229 мм)</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</si>
  <si>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</si>
  <si>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</si>
  <si>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Мемлекттік органдар және екінші деңгейдегі банктермен арақатынастарына кеңестер</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</si>
  <si>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</si>
  <si>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</si>
  <si>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Қоғамның бағдарламалары бойынша кеңестер</t>
  </si>
  <si>
    <t xml:space="preserve"> IT технологиялар және мемлекеттік сатып алу бойынша кеңестер</t>
  </si>
  <si>
    <t>Бухгалтерлік есеп бойынша кеңес беру қызметтері</t>
  </si>
  <si>
    <t>Бухгалтерлік және салықтық есеп бойынша кеңес беру қызметтері</t>
  </si>
  <si>
    <t>Мемлекеттік сатып алу және сатып алу ұлттық компаниялар және кенөндірушілер жөнінде кеңестер</t>
  </si>
  <si>
    <t>Мемлекттік сатып алу, лицензиялау мен сертификациялау сұрақтары бойынша кеңес беру</t>
  </si>
  <si>
    <t>Мемлекеттік және басқа да сатып алу сұрақтары бойынша кеңес беру</t>
  </si>
  <si>
    <t>Мемлекеттік сатып алу мен байланысты сұрақтар бойынша кеңес беру</t>
  </si>
  <si>
    <t>Рұқсатнамалық құжаттарын алуға байланысты сұрақтар бойынша кеңес беру</t>
  </si>
  <si>
    <t>ЕДБ қаржылану үшін құжаттарды дайындау барысын туындаған сұрақтар бойынша кеңестер және мемлекеттік сатып алу бойынша</t>
  </si>
  <si>
    <t>Архитектура саласы бойынша кеңестер</t>
  </si>
  <si>
    <t>Архитектура және азаматтық құрылыс саласында рұқсатнамалық процедуралары бойынша кеңестер</t>
  </si>
  <si>
    <t>Бояужаққышымен және араластырғышымен</t>
  </si>
  <si>
    <t>С кисточкой и разбавителем</t>
  </si>
  <si>
    <t>Сантехникалық кран</t>
  </si>
  <si>
    <t>Шамшырақ</t>
  </si>
  <si>
    <t>Люминесцентті лампа, цоколі G13, қуаттылығы 80 Ватт</t>
  </si>
  <si>
    <t>ГОСТ 17677-82, жарық көзі (лампа) Л - тік труба типтес люминисцентті</t>
  </si>
  <si>
    <t>Таспа</t>
  </si>
  <si>
    <t>ЛЭС 0,15*15 ГОСТ 5937-81.   Электроизоляциялық таспа шыны жіптерден маркасы ЛЭС қалыңдығы 0,15 мм, ені 15 мм.</t>
  </si>
  <si>
    <t>ЛЭС 0,15*30 ГОСТ 5937-81.  Электроизоляциялық таспа шыны жіптерден маркасы ЛЭС қалыңдығы 0,15 мм, ені 30 мм.</t>
  </si>
  <si>
    <t>Саты-баспалдақ</t>
  </si>
  <si>
    <t>Алюминнен жасалынған саты-баспалдақ</t>
  </si>
  <si>
    <t>Қар жинауға арналған күрек</t>
  </si>
  <si>
    <t>Жинауға арналған күрек (күрекше)</t>
  </si>
  <si>
    <t>Металургиялық күрек</t>
  </si>
  <si>
    <t>Пластикадан жасалынған перманентті маркер, ұшы доғалдау келген 1-5мм</t>
  </si>
  <si>
    <t>Пластикадан жасалынған перманентті (өшпейтін) маркер, ұшы доғалақ келген 1,5мм</t>
  </si>
  <si>
    <t xml:space="preserve">Маркер </t>
  </si>
  <si>
    <t>Пластиктен жасалған домалақ маркер, сызық ені 1,8 мм</t>
  </si>
  <si>
    <t>Тақта маркері</t>
  </si>
  <si>
    <t>Қалааралық, халықаралық ұялы келіссөздер</t>
  </si>
  <si>
    <t>Халықаралық телефон байланысы бойынша қызметтер- қолжеткізу және пайдалану</t>
  </si>
  <si>
    <t>Халықаралық телефон байланысы бойынша қызметтер</t>
  </si>
  <si>
    <t>Құрал-сайман</t>
  </si>
  <si>
    <t>Жәшіктегі құрал-сайман жиынтығы</t>
  </si>
  <si>
    <t>Құрал-сайман жиынтығы</t>
  </si>
  <si>
    <t>Набор инструментов в ящике</t>
  </si>
  <si>
    <t>Флипчарт тақтаға арналған</t>
  </si>
  <si>
    <t>Жазуға арналған қабырға блокноттары</t>
  </si>
  <si>
    <t>МКҚО автобусын міндетті сақтандыру</t>
  </si>
  <si>
    <t>Авто көлікті міндетті сақтандыру</t>
  </si>
  <si>
    <t>Жылыту жүйесін тексеру бойынша қызметтер</t>
  </si>
  <si>
    <t>басқа топтамаға қосылмаған басқа заттар</t>
  </si>
  <si>
    <t>Домалақ столға арналған органайзер, 10 нан 15 затқа дейін</t>
  </si>
  <si>
    <t>Домалақ столға арналған органайзер айналма негізде, 15 тен 20 затқа дейін</t>
  </si>
  <si>
    <t>Кескіш дөңгелек</t>
  </si>
  <si>
    <t>Лобовое стекло</t>
  </si>
  <si>
    <t>переднее, сталинит, для легковых автомобилей</t>
  </si>
  <si>
    <t>алдыңғы, сталинит, жеңіл автокөліктер үшін</t>
  </si>
  <si>
    <t>Переднее лобовое стекло на служ.автотранспорт</t>
  </si>
  <si>
    <t>Алдыңғы әйнек</t>
  </si>
  <si>
    <t>Қызметтік автокөлікке алдыңғы әйнек</t>
  </si>
  <si>
    <t>Пластикалық бутылкадағы ішуге арналған су, 19 л.</t>
  </si>
  <si>
    <t>Пластикалық бутылкадағы ішуге арналған су</t>
  </si>
  <si>
    <t xml:space="preserve">Мерзімді басылымдарға жазылу </t>
  </si>
  <si>
    <t>Ковролан резинадан</t>
  </si>
  <si>
    <t>Қысқы мерзімде КҚО текпешегіне жабу</t>
  </si>
  <si>
    <t>Калибрлі қауіпсіздендіргіш</t>
  </si>
  <si>
    <t>куаты 220В, ток 250А</t>
  </si>
  <si>
    <t>Ток қуатынан қауіпсіздендіргіш</t>
  </si>
  <si>
    <t>Жарнамаларды БАҚ орналастыру қызметтері</t>
  </si>
  <si>
    <t>Хабарландыруларды бұқаралық ақпарат құралдарында жариялау</t>
  </si>
  <si>
    <t>Күзетшілердің Заңды тұлғалардың мүлкін қорғау бойынша  қызметтері</t>
  </si>
  <si>
    <t>Кеңсені қорғау шығындары</t>
  </si>
  <si>
    <t>Жарнама шығындары</t>
  </si>
  <si>
    <t>Кондицинерлерді жөндеу және қызмет көрсету</t>
  </si>
  <si>
    <t>Шарикті пластикалық қалам</t>
  </si>
  <si>
    <t>Шарикті қалам логотипімен бірге</t>
  </si>
  <si>
    <t>Шарикті қалам ауыспалы стержендері (болончиктерімен)</t>
  </si>
  <si>
    <t>Құлыптың өзегі</t>
  </si>
  <si>
    <t>Сейф</t>
  </si>
  <si>
    <t>Темір өртке төзімді сейф</t>
  </si>
  <si>
    <t>Темір сейф</t>
  </si>
  <si>
    <t>Құжат тігілетін папка</t>
  </si>
  <si>
    <t>Құжат тігілетін картон папка- ақ</t>
  </si>
  <si>
    <t>Қыстырғыш</t>
  </si>
  <si>
    <t>Жұқа, 3 см дейін</t>
  </si>
  <si>
    <t>Енді, 3 см жоғары</t>
  </si>
  <si>
    <t>Қағаз қыстырғыш. Мөлшері 22 мм</t>
  </si>
  <si>
    <t>Қағаз қыстырғыш. Мөлшері 33 мм</t>
  </si>
  <si>
    <t>Қағаз қыстырғыш. Мөлшері 32 мм</t>
  </si>
  <si>
    <t>Қағаз қыстырғыш. Мөлшері 26 мм</t>
  </si>
  <si>
    <t>Су құйғышқа қопсалауыш</t>
  </si>
  <si>
    <t>Стартер типтес СТ</t>
  </si>
  <si>
    <t>Трубка типтес люминесценттік лампа, түрі - 80С-220, ГОСТ 8799-90</t>
  </si>
  <si>
    <t>Люминесцентной лампаның қуаты 140 Вт жоғары</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</si>
  <si>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</si>
  <si>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</si>
  <si>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Жиһаз степлері</t>
  </si>
  <si>
    <t>Қоқыс арбасы</t>
  </si>
  <si>
    <t>Гидравликалық жүк арбасы</t>
  </si>
  <si>
    <t>Жүк арба</t>
  </si>
  <si>
    <t>Төрт дөңгелекті жүк арбасы. Жүк көтергіш қуаты шамамен 750 кг. Жеке салмағы - 2,5х1,5 м. Алдыңғы дөңгелек диаметрі артқы дөңгелек диаметірінен кем (60 - 70 см және 70 - 100 см)</t>
  </si>
  <si>
    <t>Жүк тасымалдау арбасы</t>
  </si>
  <si>
    <t>Ручная, грузоподъемность до 1400 кг</t>
  </si>
  <si>
    <t>Қол арба, жүк көтергіштігі 1400 кг. Дейін</t>
  </si>
  <si>
    <t>Көлік қызметтері</t>
  </si>
  <si>
    <t>Селиконды герметик</t>
  </si>
  <si>
    <t>этилдірілденбеген және этилдірілген, шағылысып жану двигательдер үшін шығарылған: АИ-92</t>
  </si>
  <si>
    <t>қаламшасымен</t>
  </si>
  <si>
    <t>Қағаз А4</t>
  </si>
  <si>
    <t>Қысқа жазбаға арналған қағаз</t>
  </si>
  <si>
    <t>Бір шеті жабысқан, мөлшері 76х76 мм</t>
  </si>
  <si>
    <t xml:space="preserve"> Территорияны көренктеу </t>
  </si>
  <si>
    <t>Ғимаратты қорғау қызметі</t>
  </si>
  <si>
    <t>Күзетшілердің заңды тұлғалардың мүліктерін қорғау бойынша қызметтер</t>
  </si>
  <si>
    <t>Қоғамның іскерлік кеңесіннің отырысын ұйымдастыру қызметтері</t>
  </si>
  <si>
    <t>Барлық өңірлік оқу орталықтары тыңдаушыларының деректер базасын, оқытушылар құрамының деректер базасын құру және жаңғырту</t>
  </si>
  <si>
    <t>Өңірлік оқу орталықтарында сабақ және консультация өткізу, қазақстан тренерлерін іссапарға жіберу</t>
  </si>
  <si>
    <t>Сабақ кезінде кофе-брейк ұйымдастыру</t>
  </si>
  <si>
    <t xml:space="preserve"> Сайт хостингі</t>
  </si>
  <si>
    <t>Аналитикалық кітап шығару</t>
  </si>
  <si>
    <t xml:space="preserve">Жүргізушісімен бірге жеіңл автокөлікті жалға алу </t>
  </si>
  <si>
    <t>"Бизнес-кеңесші" жыне "Бизнес-Кеңесші-2" бағдарламасы аясында лекторлар үшін автокөлік жалдау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</si>
  <si>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</si>
  <si>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Рұқсатнамалық құжаттарын алуға байланысты сұрақтар бойынша кеңес беру, газбенқамсыздандыру/ электрмен қамсыздандыру/ сумен қамсыздандыру/ телефонмен камсыздандыру туралы техникалық жағдайларына, сонмен бірге жер учаскесін алу (аукцион өткізуді қоспағанда) және мемлекеттік органдарда жер учаскесінің мақсатын өзгерту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</si>
  <si>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</si>
  <si>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Қосқыш</t>
  </si>
  <si>
    <t>екі жолақты</t>
  </si>
  <si>
    <t>Есіктерді жеткізгіш</t>
  </si>
  <si>
    <t>120 кг дейінгі жеткізгіш</t>
  </si>
  <si>
    <t>68.20.12.00.00.00.02</t>
  </si>
  <si>
    <t>Услуги по аренде производственного помещения</t>
  </si>
  <si>
    <t>Өндірістік ғимараттарды жалға алу</t>
  </si>
  <si>
    <t>Өндірістік базаны жалға алу</t>
  </si>
  <si>
    <t>Сандық</t>
  </si>
  <si>
    <t>Сандық диктафон, жазу форматы МР3</t>
  </si>
  <si>
    <t>Су диспенсері</t>
  </si>
  <si>
    <t>Диспенсер для воды</t>
  </si>
  <si>
    <t>Суды ысыту функциясымен. Едендік (холодильнигімен).</t>
  </si>
  <si>
    <t>Ілгекше</t>
  </si>
  <si>
    <t>Киімге арналған ілгекше, темірден 3 аяқты</t>
  </si>
  <si>
    <t>Киімге ілгекше</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</si>
  <si>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</si>
  <si>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</si>
  <si>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</si>
  <si>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Пандус дайындау қызметтері</t>
  </si>
  <si>
    <t xml:space="preserve">Услуга по изготовлению гардеробной для ЦОП </t>
  </si>
  <si>
    <t>КҚКО гардероб дайындау қызметтері</t>
  </si>
  <si>
    <t>Қол арба, жүк көтергіштігі 800 кг. дейін</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</si>
  <si>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</si>
  <si>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</si>
  <si>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</si>
  <si>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</si>
  <si>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</si>
  <si>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</si>
  <si>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</si>
  <si>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</si>
  <si>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</si>
  <si>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2014 год</t>
  </si>
  <si>
    <t>Исполнитель: Главный менеджер Административного департамента Мырзалы М. тел. 2445566 вн. 1107</t>
  </si>
  <si>
    <t>Орта сыныпты ноутбук</t>
  </si>
  <si>
    <t>Жоғары өнімді ультрадыбыс</t>
  </si>
  <si>
    <t>Кепілзат мүлкін қорғау қызметі</t>
  </si>
  <si>
    <t xml:space="preserve">Клиенттерді тарту және жинау мақсатында маркетингтік кампаниялар және басқа да  жарнамалық қызмет көрсету бойынша қызметтер  </t>
  </si>
  <si>
    <t>Услуги по проведению маркетинговых кампаний и других рекламных услуг с целью привлечения и удержания клиентов</t>
  </si>
  <si>
    <t xml:space="preserve">Клиенттерді тарту және жинау мақсатында маркетингтік компанияның және басқа да  жарнамалық қызмет көрсету бойынша қызмет  </t>
  </si>
  <si>
    <t>Франчайзинг жөнінде іс-шаралар туралы жарнамалық және болған ақпаратты БАҚ жариялау</t>
  </si>
  <si>
    <t xml:space="preserve">Басқа да көмекші ағартушылық қызметтері </t>
  </si>
  <si>
    <t>Басқа да көмекші ағартушылық қызметтері</t>
  </si>
  <si>
    <t>Сертификат табыстаумен ЖКМ семинарлары мен Идеялар жәрмеңкелерін ұйымдастыру мен өткізу қызметтері</t>
  </si>
  <si>
    <t xml:space="preserve">Услуги по организации и проведению семинаров ШМП и Ярмарок идей с предоставлением сертификатов </t>
  </si>
  <si>
    <t>Бизнес жоспары туралы кеңес беру және оны жасау</t>
  </si>
  <si>
    <t>Консультации по разработке и составлению бизнес планов</t>
  </si>
  <si>
    <t>Кәсіпорынның маркетингтік стратегиясын жасау жөніндегі кеңес</t>
  </si>
  <si>
    <t>Консультации по разработке маркетинговой стратегии предприятия</t>
  </si>
  <si>
    <t>с даты подписания договора по 31.10.2014г.</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</si>
  <si>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</si>
  <si>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</si>
  <si>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Мөлшері:235/65R17.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</si>
  <si>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КҚО үшін кеңсе жайларын жалға алу</t>
  </si>
  <si>
    <t>Аренда офисных помещений для ЦОП</t>
  </si>
  <si>
    <t>Услуги по размещению объявлений в печатных изданиях</t>
  </si>
  <si>
    <t>А4 файлы</t>
  </si>
  <si>
    <t xml:space="preserve">Оказание услуги в течение 12 месяцев с даты подписания договора </t>
  </si>
  <si>
    <t>Труба</t>
  </si>
  <si>
    <t>Сейфтерді жөндеу және оларға қызмет көрсету</t>
  </si>
  <si>
    <t>Сейфтерді жөндеуге шыққан шығыстар</t>
  </si>
  <si>
    <t xml:space="preserve"> Автомобильдердің мотор бөлігін және жеңіл автокөлік құралдарына техникалық қызмет көрсету</t>
  </si>
  <si>
    <t xml:space="preserve"> Жол көлік құралдарын техникалық бақылау (қарап шығу) қызметтері</t>
  </si>
  <si>
    <t>Жүккөтеретін механизмдерді зерттеу</t>
  </si>
  <si>
    <t>Көтергіш жабдықтарды сынақтан өткізу</t>
  </si>
  <si>
    <t>Көтергіш агрегаттарды зерттеу және оларды сынақтан өткізу</t>
  </si>
  <si>
    <t>МОӨД үшін кеңсе жайларын жалдау бойынша қызметер</t>
  </si>
  <si>
    <t>Аренда помещений для ДВГО </t>
  </si>
  <si>
    <t>с 01.01.2014г. по 31.12.2014г.</t>
  </si>
  <si>
    <t>27.90.32.00.00.01.05.25.1</t>
  </si>
  <si>
    <t>82.19.11.10.00.00.00</t>
  </si>
  <si>
    <t>VII Астана экономикалық форумы аясында ШОБ бойынша сессия ұйымдастыру және өткізу бойынша қызметтер</t>
  </si>
  <si>
    <t>Услуги по организации и проведению Сессии по МСБ, в рамках VII Астанинского экономического форума</t>
  </si>
  <si>
    <t>43.21.10.16.00.10.00</t>
  </si>
  <si>
    <t>Телекоммуникациялық жүйелерді орнату қызметтері</t>
  </si>
  <si>
    <t>Услуги по прокладке телекоммуникаций</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</si>
  <si>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</si>
  <si>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</si>
  <si>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услуга</t>
  </si>
  <si>
    <t>Услуги по монтажу СКС в здании ЦОП</t>
  </si>
  <si>
    <t>КҚО ғимаратына ҚКЖ орнату қызметтері</t>
  </si>
  <si>
    <t>с даты подписания договора по 31.01.2014г.</t>
  </si>
  <si>
    <t>41.00.40.20.60.00.00</t>
  </si>
  <si>
    <t>Ғимаратты жөндеу жұмыстары</t>
  </si>
  <si>
    <t>Работы строительные по ремонту помещения</t>
  </si>
  <si>
    <t>Брошураларды, құжаттама журналдары мен сол сияқты өнімдер басып шығару бойынша қызметтер</t>
  </si>
  <si>
    <t>Услуги по печатанью рекламных постеров</t>
  </si>
  <si>
    <t>Жарнамалық постерлерді баспадан шығару</t>
  </si>
  <si>
    <t>с даты подписания договора по 10.03.2014г.</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</si>
  <si>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</si>
  <si>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</si>
  <si>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</si>
  <si>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</si>
  <si>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</si>
  <si>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разработке и изготовлению рекламных х-banner стендов</t>
  </si>
  <si>
    <t>Жарнамалық х-banner стендтерін дайындау қызметтері</t>
  </si>
  <si>
    <t>Услуги по разработке и изготовлению рекламных стендов для буклетов</t>
  </si>
  <si>
    <t>Буклеттер үшін стендтер дайындау қызметтері</t>
  </si>
  <si>
    <t>58.13.32.10.00.00.00</t>
  </si>
  <si>
    <t>Электронды түрде газеттерде  жарнамалық ақпараттарды орналастыру үшін орындар сату қызметтері</t>
  </si>
  <si>
    <t>Услуги по продаже места для размещения рекламных объявлений в газетах, в электронном виде</t>
  </si>
  <si>
    <t xml:space="preserve">Электронды түрде газеттерде (көбінесе Интернет жүйесінде орналасқан) жарнамалық ақпараттарды орналастыру </t>
  </si>
  <si>
    <t>Размещение рекламных объявлений в газетах, в электронном виде (преимущественно, размещенных в сети Интернет)</t>
  </si>
  <si>
    <t>Размещение рекламных материалов в электронном виде</t>
  </si>
  <si>
    <t xml:space="preserve">Электронды түрде  жарнамалық ақпараттарды орналастыру </t>
  </si>
  <si>
    <t>Актуализация бизнес-идей</t>
  </si>
  <si>
    <t>Бизнес-идеяларды жаңғырту</t>
  </si>
  <si>
    <t>45 календарных дней с даты подписания договора</t>
  </si>
  <si>
    <t>Разработка путеводителя (бизнес-идей) для начинающих бизнесменов</t>
  </si>
  <si>
    <t xml:space="preserve">Жаңадан бастаушы бизнесмендерге жолнұсқаулықтар (бизнес-идея) дайындау </t>
  </si>
  <si>
    <t>66.19.32.00.00.00.01</t>
  </si>
  <si>
    <t>Услуги по хранению</t>
  </si>
  <si>
    <t>Сақтау қызметтері</t>
  </si>
  <si>
    <t>Қызметтік автокөлікті  техникалық бақылау (қарап шығу) қызметтері</t>
  </si>
  <si>
    <t>Услуги по техническому контролю (осмотру) служебного автотранспорта</t>
  </si>
  <si>
    <t xml:space="preserve">Товар </t>
  </si>
  <si>
    <t>31.01.12.00.00.02.07.01.1</t>
  </si>
  <si>
    <t>Стол</t>
  </si>
  <si>
    <t>штук</t>
  </si>
  <si>
    <t>Стол для ресепшена</t>
  </si>
  <si>
    <t>Ресепшнге арналған үстел</t>
  </si>
  <si>
    <t>15 календарных дней с даты подписания договора</t>
  </si>
  <si>
    <t>13.92.15.00.00.50.10.03.2</t>
  </si>
  <si>
    <t>Аралас маталардан жасалған перделер</t>
  </si>
  <si>
    <t>Шторы из смешанных тканей</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</si>
  <si>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</si>
  <si>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</si>
  <si>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20 календарных дней с даты подписания договора</t>
  </si>
  <si>
    <t>Стол для ресепшна, материал – ЛДСП,  внешняя часть отделки со шпоном с хромированными полосками, внутренняя часть отделки: ДСП</t>
  </si>
  <si>
    <t>Стол для ресепшна, материал – ЛДСП, толщина 16 мм</t>
  </si>
  <si>
    <t xml:space="preserve">Для опечатывания и хранения ключей. </t>
  </si>
  <si>
    <t>Урна для анкет из алюминиевого профиля, корпус из оргстекла</t>
  </si>
  <si>
    <t>Классические шторы с тюлью из смешанных тканей</t>
  </si>
  <si>
    <t>Ресепшнге арналған үстел, материал - ЛДСП, сыртқы жағында хромдалған жолақтары бар шпондармен, ішкі жағы: ДСП</t>
  </si>
  <si>
    <t>Ресепшнге арналған үстел, материал - ЛДСП, қалыңдығы 16 мм</t>
  </si>
  <si>
    <t>Пенал для ключей</t>
  </si>
  <si>
    <t>25.99.21.00.00.15.10.10.1</t>
  </si>
  <si>
    <t>Кілттерге арналған пенал</t>
  </si>
  <si>
    <t xml:space="preserve">Металлический, для опечатывания и хранения ключей. </t>
  </si>
  <si>
    <t>Темірден, кілттерді жабуға және сақтауға арналған</t>
  </si>
  <si>
    <t>32.99.86.00.00.00.71.01.1</t>
  </si>
  <si>
    <t>Урна для голосования</t>
  </si>
  <si>
    <t>Дауыс беруге арналған урна</t>
  </si>
  <si>
    <t>Стационарная, имеет щель сделанную специально для опускания бюллетеней для голосования</t>
  </si>
  <si>
    <t>Стационарлы, дауыс беру бюлетендерін тастауға арналған саңлауы бар</t>
  </si>
  <si>
    <t>Алюмини профильді, қабырғалары әйнектен жасалған, анкеталарға арналған урна</t>
  </si>
  <si>
    <t xml:space="preserve">Аралас маталардан жасалған   классикалық перде, тюльмен бірге.  </t>
  </si>
  <si>
    <t>Бейне бақылау жүйесі</t>
  </si>
  <si>
    <t>Комплекс оборудования для видеонаблюдения</t>
  </si>
  <si>
    <t>Бейне бақылауға арналға құрылғылардың комплексі</t>
  </si>
  <si>
    <t>26.30.50.00.00.00.02.12.1</t>
  </si>
  <si>
    <t>Оборудование системы охранной сигнализации</t>
  </si>
  <si>
    <t>Күзет дабылдамасы жүйесінің құрылғылары</t>
  </si>
  <si>
    <t>Комплекс технических средств для системы охранной сигнализации с подключением к централизованному пульту наблюдения (пультовая охрана)</t>
  </si>
  <si>
    <t>26.30.50.00.00.00.02.13.1</t>
  </si>
  <si>
    <t>Оборудрование системы пожарной сигнализации</t>
  </si>
  <si>
    <t>Комплекс технических средств, которые служат для своевременного обнаружения очага  задымления или возгорания на объекте</t>
  </si>
  <si>
    <t>Өрт дабылдамасы жүйесінің құрылғылары</t>
  </si>
  <si>
    <t>Объектіде өрт немесе түтін ошағын дер кезінде анықтауға арналған техникалық құралдардың комплексі</t>
  </si>
  <si>
    <t xml:space="preserve">Орталық бақылау пультіне қосылған күзет дабылдамасы жүйесіне арнлаған техникалық құралдардың комплексті </t>
  </si>
  <si>
    <t>80.10.12.19.00.00.00</t>
  </si>
  <si>
    <t>Услуги по охранному мониторингу средств тревожной сигнализации</t>
  </si>
  <si>
    <t>Күзет дабыл құралдарын сақтау мониторингі қызметтері</t>
  </si>
  <si>
    <t>41.00.40.20.10.00.00</t>
  </si>
  <si>
    <t>Работы строительные по ремонту административного здания</t>
  </si>
  <si>
    <t>Әкімшілік ғимаратты жөндеу жұмыстары</t>
  </si>
  <si>
    <t>Комплекс работ по ремонту административного здания офисного типа</t>
  </si>
  <si>
    <t>Әкімшілік ғимаратты жөндеудегі комплексті жұмыстар</t>
  </si>
  <si>
    <t>укладка ламината, разборка покрытия пола из керамической плитки, устройство перегородок из ГКЛ, отделка, окраска, левкас потолков и т.д.</t>
  </si>
  <si>
    <t xml:space="preserve">Ламинат төсеу, керамикалық плитадан жасалған еден жабуларын бұзу, ГКЛдан қабырғалармен бөлмелерді бөлу, сырлау, бояу, бөлме төбелерін левкастау және т.б. </t>
  </si>
  <si>
    <t>26.40.20.12.13.11.11.11.1</t>
  </si>
  <si>
    <t xml:space="preserve">Телевизор </t>
  </si>
  <si>
    <t>Сандық, сұйықкристалды телевизор (LCD)</t>
  </si>
  <si>
    <t>Жидкокристаллический (LCD), цифровой</t>
  </si>
  <si>
    <t>30 календарных дней с даты подписания договора</t>
  </si>
  <si>
    <t>26.40.31.14.12.11.11.11.1</t>
  </si>
  <si>
    <t>Система акустическая</t>
  </si>
  <si>
    <t>Многополосная, т.е. содержит два и более излучателей, каждый из которых создаёт звуковое давление в своей частотной полосе. Содержит один усилитель (и пассивные фильтры) либо несколько усилителей равное числу полос аккустической системы.</t>
  </si>
  <si>
    <t>Акустикалық жүйе</t>
  </si>
  <si>
    <t>Көп дауысты, демек екі немесе одан көп сауле шығарғышы бар, әр қайсысы өзінің жиілік жолында дауыстық қысым жасайды. Бір (және пассивті филтірі) немесе бірнеше күшейкіші бар,  акустикалық жүйенің жиілік  жолдарына байланысты</t>
  </si>
  <si>
    <t>33.20.60.11.00.00.00</t>
  </si>
  <si>
    <t>Монтаж, пусконаладочные работы  видеосистемы</t>
  </si>
  <si>
    <t>Комплексные работы по реализации проекта «под ключ» на поставку и внедрение системы видеоконференц связи</t>
  </si>
  <si>
    <t>180 календарных дней с даты подписания договора</t>
  </si>
  <si>
    <t>Бейне жүйені құру, ендіруге байланысты жұмыстар</t>
  </si>
  <si>
    <t>Бейнеконференц байланыс жүйесін жеткізу және ендіруге байланысты "кілітке дейін" жобаны іске асыру бойынша комплексті жұмыстар</t>
  </si>
  <si>
    <t>Услуги по созданию цикла видеоматериалов на основе серии рассказов об участниках Программы «Дорожная карта бизнеса 2020» («Истории успеха»), произведенных в 2013 году</t>
  </si>
  <si>
    <t>Услуги по созданию цикла видеоматериалов на основе серии телепередач с участием экспертов, предпринимателей, общественных деятелей, зарубежных специалистов («Территория бизнеса»), произведённых в 2013 году</t>
  </si>
  <si>
    <t>Сарапшылардың, кәсіпкерлердің, қоғам қайраткерлерінің, шет ел мамандарының қатысуымен  2013 жылы түсірілген телехабарлар сериясының негізінде  (Бинес территориясы) бейне материалдар циклын дайындап шығару қызметтері</t>
  </si>
  <si>
    <t>«Жол бизнес картасы 2020» бағдарламсының қатысушылары жөнінде 2013 жылы жасалған сериалардың негізінде («Сәттілік тарихы») бейнематериалдар циклын дайындап шығару қызметтері</t>
  </si>
  <si>
    <t>431000000</t>
  </si>
  <si>
    <t>с даты подписания договора по 29.08.2014г.</t>
  </si>
  <si>
    <t>27.51.26.01.01.00.00.11.1</t>
  </si>
  <si>
    <t>Жылының желеуі</t>
  </si>
  <si>
    <t>Тепловая завеса</t>
  </si>
  <si>
    <t>әуе кедергінің жаралғаны үшін зонаның шекарасында әртүрлі қызумен</t>
  </si>
  <si>
    <t>для создания воздушного барьера на границе зон с разной температурой</t>
  </si>
  <si>
    <t>10 рабочих дней с даты подписания договора</t>
  </si>
  <si>
    <t>311000000</t>
  </si>
  <si>
    <t>74.10.19.13.00.00.00</t>
  </si>
  <si>
    <t>Услуги по дизайну специализированному прочие</t>
  </si>
  <si>
    <t>Прочий дизайн специализированный, не включенный в другие группировки</t>
  </si>
  <si>
    <t>Басқа мамандандырылған дизайн қызметтері</t>
  </si>
  <si>
    <t>Өзге топтамаларға ендірілмеген басқа да мамандандырылған дизайн қызметтері</t>
  </si>
  <si>
    <t>Услуги по разработке дизайна рекламно-раздаточных материалов</t>
  </si>
  <si>
    <t>Жарнамалық-таратылым материалдарының дизайындарын дайындау қызметтері</t>
  </si>
  <si>
    <t>18.12.14.15.00.00.00</t>
  </si>
  <si>
    <t>Услуги по печатанию открыток почтовых</t>
  </si>
  <si>
    <t>Баспа қызметтері</t>
  </si>
  <si>
    <t>Пошталық ашық хаттарды баспадан шығару қызметтері</t>
  </si>
  <si>
    <t>Услуги по изготовлению  поздравительных открыток</t>
  </si>
  <si>
    <t>Құттықтау ашық хаттарын дайындау қызметтері</t>
  </si>
  <si>
    <t>77.33.12.15.00.00.00</t>
  </si>
  <si>
    <t>Услуги по аренде прочей вычислительной техники и оборудования</t>
  </si>
  <si>
    <t>Краткосрочная, среднесрочная или долгосрочная аренда (прокат) прочей вычислительной техники и оборудования, не включенной в другие группировки</t>
  </si>
  <si>
    <t>Услуги аренды синхронного оборудования на 80 человек</t>
  </si>
  <si>
    <t>Басқа есептегіш және техникалық құралдарды жалға алу қызметтері</t>
  </si>
  <si>
    <t xml:space="preserve">Өзге топтамаларға енгізілмеген басқа есептегіш және техникалық құралдарды қысқа, орта және ұзақ мерзімге жалға алу </t>
  </si>
  <si>
    <t>80 адамға арналған синхрондық құралды жалға алу қызметтері</t>
  </si>
  <si>
    <t>Услуги по изготовлению актов землепользования</t>
  </si>
  <si>
    <t>84.11.19.11.00.00.00</t>
  </si>
  <si>
    <t>Изготовление актов землепользования</t>
  </si>
  <si>
    <t>Жерпайдалану актілерін дайындау қызметтері</t>
  </si>
  <si>
    <t xml:space="preserve">Жерпайдалану актілерін дайындау </t>
  </si>
  <si>
    <t>84.11.19.10.00.00.00</t>
  </si>
  <si>
    <t>Услуги по паспортизации здания</t>
  </si>
  <si>
    <t>паспортизация здания</t>
  </si>
  <si>
    <t>Ғимаратқа паспорт  дайындау қызметтері</t>
  </si>
  <si>
    <t xml:space="preserve">Ғимаратқа паспорт  дайындау </t>
  </si>
  <si>
    <t>35.22.10.13.00.00.00</t>
  </si>
  <si>
    <t>Услуги по поставке  природного газа</t>
  </si>
  <si>
    <t>Услуги по транспортировке сухого (отбензиненного) природного газа</t>
  </si>
  <si>
    <t>Табиғи газ беру қызметтері</t>
  </si>
  <si>
    <t>Құрғақ (бензині шығарылған) табиғи газды тасымалдау қызмметтері</t>
  </si>
  <si>
    <t>Услуги аренды 2-х  автотранспортных средств (легковая автомашина и мироавтобус) на обслуживание иностранных делегаций</t>
  </si>
  <si>
    <t>Шет ел делегациясына тасымалдау қызметін көрсету   үшін 2-і автокөлік (жеңіл көлік және микроавтобус) жалдау</t>
  </si>
  <si>
    <t>Высокопроизводительный, отказоустойчивый кластер на базе блейд-серверов, включая систему хранения данных, вертикальную и горизонтальные коммуникационные инфраструктуры</t>
  </si>
  <si>
    <t xml:space="preserve">Блейд-сервер базасының негізіндегі қабыл аламауға шыдамды, жоғары өнімді кластер, вертикалды және горизонталды коммуникациондық инфраструктура мен мәлметтерді сақтау жүйесін қосқанда </t>
  </si>
  <si>
    <t>90 календарных дней с даты подписания договора</t>
  </si>
  <si>
    <t>Расходы на повышение квалификации консультантов ЦПП в 27 моногородах</t>
  </si>
  <si>
    <t>27 моноқалалардағы  КҚО кеңесшілердің біліктіліктілігін арттыруға бағытталған шығындар</t>
  </si>
  <si>
    <t>Стол для консультантов ЦПП в моногородах</t>
  </si>
  <si>
    <t>Компьютер для консультантов ЦПП в моногородах</t>
  </si>
  <si>
    <t xml:space="preserve">Моноқалалардағы КҚО кеңесшілерге арналған үстел </t>
  </si>
  <si>
    <t xml:space="preserve">Моноқалалардағы КҚО кеңесшілеріне арналған үстел </t>
  </si>
  <si>
    <t>Моноқалалардағы КҚО кеңесшілеріне арналған компьютер</t>
  </si>
  <si>
    <t xml:space="preserve">Моноқалаларға КҚО кәсіпкерлік сұрақтары бойынша кеңесшілердің қызметтері </t>
  </si>
  <si>
    <t>Актуализация учебно-методических пособий проекта «Бизнес-Советник»</t>
  </si>
  <si>
    <t>Актуализация типовых бизнес-планов</t>
  </si>
  <si>
    <t>"Бизнес-Кеңесші" жобасының оқу-әдістемелік құралдарын актуализациялау</t>
  </si>
  <si>
    <t>Типтік бизнес-жобаларды актуализациялау</t>
  </si>
  <si>
    <t>Консультации по общим вопросам открытия, закрытия и  ведения бизнеса. Консультирование по правовым вопросам.</t>
  </si>
  <si>
    <t>Бизнесті ашу, жабу және жүргізу бойынша жалпы кеңестер. Құқықтық мәселелербойынша кеңестер</t>
  </si>
  <si>
    <t>Кресло офисное для консультантов ЦПП в моногородах</t>
  </si>
  <si>
    <t>Моноқалалардағы КҚО кеңесшілеріне арналған кеңсе креслосы</t>
  </si>
  <si>
    <t>35.15.11.20.00.00.00</t>
  </si>
  <si>
    <t>Услуги по обеспечению работоспособности (эксплуатации) систем для передачи электроэнергии от места производства к распределительным системам</t>
  </si>
  <si>
    <t>Электроэнергияны өндірілген орыннан тарату жүйесіне дейін беру үшін электроэнергия жүйелерінің жұмыс қабілеттілігін қамсыздандыру қызметтері</t>
  </si>
  <si>
    <t>74.90.12.20.11.00.00</t>
  </si>
  <si>
    <t>Услуги по оценке интеллектуальной собственности, стоимости нематериальных активов</t>
  </si>
  <si>
    <t xml:space="preserve">Обязательная и инициативная оценка интеллектуальной собственности, стоимости нематериальных активов </t>
  </si>
  <si>
    <t>Зияткерлік меншікті, бейматериалдық активтердің құнын бағалау қызметтері</t>
  </si>
  <si>
    <t xml:space="preserve">Зияткерлік меншікті, бейматериалдық активтердің құнын міндетті және өзіндік бастамамен бағалау </t>
  </si>
  <si>
    <t>Қаламсап</t>
  </si>
  <si>
    <t>Шрикті қаламсап логотипімен</t>
  </si>
  <si>
    <t>Емкость – 8,5 Гб, записываемый (однократно), в упаковке 100 штук</t>
  </si>
  <si>
    <t>26.80.12.00.00.22.11.50.1</t>
  </si>
  <si>
    <t>Көлемі - 8,5 Гб, жазбалы (бір рет), қорапта 100 дана</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</si>
  <si>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</si>
  <si>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</si>
  <si>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</si>
  <si>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73.12.11.10.00.00.00</t>
  </si>
  <si>
    <t>Услуги по продаже и аренде места для рекламы, предоставляемые за вознаграждение или на договорной основе, в печатных средствах информации</t>
  </si>
  <si>
    <t>Размещение рекламно-информационных материалов</t>
  </si>
  <si>
    <t>73.12.13.10.00.00.00</t>
  </si>
  <si>
    <t>Размещение рекламных веб-баннеров на  новостном портале</t>
  </si>
  <si>
    <t>Размещение рекламных веб-баннеров на информационном портале</t>
  </si>
  <si>
    <t>Размещение рекламных веб-баннеров на специализированном портале для предпринимателей</t>
  </si>
  <si>
    <t>73.11.19.12.00.00.00</t>
  </si>
  <si>
    <t>Услуги в области рекламы прочие</t>
  </si>
  <si>
    <t>Размещение рекламы на транспорте (наружная и внутренняя реклама на транспорте)</t>
  </si>
  <si>
    <t>351000000</t>
  </si>
  <si>
    <t>73.12.19.31.16.00.00</t>
  </si>
  <si>
    <t>Размещение рекламы в метро</t>
  </si>
  <si>
    <t>Тиражирование рекламных буклетов по гарнатиям, субсидиям, ЦОП, ДКБ</t>
  </si>
  <si>
    <t>58.14.32.10.00.00.00</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</si>
  <si>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</si>
  <si>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</si>
  <si>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Размещение веб-баннера по продуктам гарантии, субсидии, цоп</t>
  </si>
  <si>
    <t>60.10.30.01.01.00.00</t>
  </si>
  <si>
    <t>Услуги по продаже времени на радио</t>
  </si>
  <si>
    <t>Услуги по продаже рекламного времени на радио</t>
  </si>
  <si>
    <t>Размещение рекламных роликов на радио по программам господдержки</t>
  </si>
  <si>
    <t xml:space="preserve">Производство рекламного тв-ролика </t>
  </si>
  <si>
    <t>73.12.12.10.00.00.00</t>
  </si>
  <si>
    <t>Услуги по продаже и аренде места или времени для рекламы на телевидении, предоставляемые за вознаграждение или на договорной основе</t>
  </si>
  <si>
    <t>Размещение рекламных тв-роликов в кинотеатрах перед киносеансами</t>
  </si>
  <si>
    <t>Сыйақы үшін немесе шарт негізінде баспа ақпарат құралдарында жарнамаға араналған орындарды сату немесе жалға беру қызметтері</t>
  </si>
  <si>
    <t>Сыйақы үшін немесе шарт негізінде Интернетте жарнамаға араналған орындарды сату немесе жалға беру қызметтері</t>
  </si>
  <si>
    <t>Жарнамалық-ақпараттық материалдарды орналастыру</t>
  </si>
  <si>
    <t>Ақпараттық порталда жарнамалық веб-банер орналастыру</t>
  </si>
  <si>
    <t>Кәсіпкерлерге арналаған мамандандырылған порталда жарнамалық веб-банер орналастыру</t>
  </si>
  <si>
    <t>Жарнама саласындағы басқа-да қызметтер</t>
  </si>
  <si>
    <t>Көлікке жарнама орналастыру (көліктің сырты мен ішіне жаранама орналастыру)</t>
  </si>
  <si>
    <t>Сыртқы жарнама орнату қызметтері</t>
  </si>
  <si>
    <t>Услуги по размещению наружной рекламы</t>
  </si>
  <si>
    <t>Сыртқы жарнаманың бірнеше түрінде -плакаттарда, стендтерде, саулелік таблоларда, билбордтарда</t>
  </si>
  <si>
    <t>На нескольких видах наружней рекламы - плакатах, стендах, световых табло, билбордах</t>
  </si>
  <si>
    <t>Метрода жарнама орналастыру</t>
  </si>
  <si>
    <t xml:space="preserve">ЖКБ, КҚО, субсидиялар, кепілдіктер бойынша жарнамалық буклеттердің таралымын көбейту </t>
  </si>
  <si>
    <t>Организация заочного обучения в г. Астана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</si>
  <si>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Организация заочного обучения в г. Алматы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</si>
  <si>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 xml:space="preserve">Услуги по созданию рекламных аудио и видео роликов по проекту «Деловые связи» </t>
  </si>
  <si>
    <t xml:space="preserve">Размещение информации в СМИ о начале и ходе реализации проекта «Деловые связи» </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</si>
  <si>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</si>
  <si>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</si>
  <si>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</si>
  <si>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Содействие в создании Ассоциаций, клубов выпускников-участников Проекта посредством проведения для них семинаров, мастер-классов, лекций по развитию бизнеса, с привлечением ведущих бизнес-тренеров (в гг. Астана, Алматы и четырех регионах – восток-запад-север-юг)</t>
  </si>
  <si>
    <t>Отправка участников на зарубежную стажировку (авиабилеты)</t>
  </si>
  <si>
    <t>85.60.10.10.00.00.00</t>
  </si>
  <si>
    <t>Услуги по образовательным консультациям</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</si>
  <si>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</si>
  <si>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</si>
  <si>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</si>
  <si>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Интернетте жарнама орналастыру үшін уақыт немесе орын беру қызметтері</t>
  </si>
  <si>
    <t xml:space="preserve">Медийндік және мәнмәтіндік жарнамаларды, жарнама таратуды, іздестіруді оңтайландыруды, каталогтарда орналастыру қызметтерін қамтиды   </t>
  </si>
  <si>
    <t>Услуги по продаже и аренде места для рекламы, предоставляемые за вознаграждение или на договорной основе</t>
  </si>
  <si>
    <t>Сыйақы үшін немесе шарт негізінде жарнамаға араналған орындарды сату немесе жалға беру қызметтері</t>
  </si>
  <si>
    <t>Услуги по продаже и аренде места для рекламы в Интернете, предоставляемые за вознаграждение или на договорной основе</t>
  </si>
  <si>
    <t>Размещение рекламных модулей на почтовом Интернет портале</t>
  </si>
  <si>
    <t>Пошталық Интернет  порталында жарнамалық модульдер орналастыру</t>
  </si>
  <si>
    <t>Услуги по изготовлению лайтбоксов</t>
  </si>
  <si>
    <t>Алматы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</si>
  <si>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Астана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</si>
  <si>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"Іскерлік байланыстар" жобасы бойынша аудио және бейне роликтер дайындау қызметтері</t>
  </si>
  <si>
    <t>Хабарландыруларды бұқараттық ақпарат құралдарына орналастыру қызметтері (радио, теледидар, интернет және т.б.)</t>
  </si>
  <si>
    <t xml:space="preserve">"Іскерлік байланыстар" жобасының басталуы және оның іске асырылу барысы бойынша ақпараттарды БАҚ орналастыру </t>
  </si>
  <si>
    <t>Жоба қатысушыларына жетекші бизнес-тренерлердің қатысуымен семинарлар, мастер-класстар, бизнесті даму туралы лекциялар ұйымдастыру арқылы Ассоциация, бітірушілер клубын құруға көмек көрсету (Астана, Алматы қ.  және 4 аймақта - шығыс-батыс-солтүстік-оңтүстік)</t>
  </si>
  <si>
    <t>Оқытушылар құрамының жолы мен іс-сапар шығындары (визаларды рәсімдеу, шет ел бизнес-тренерлерінің медициналаық сақтандыруларын, көлік шығындары мен қазақстандық және шет ел бизнес-тренерлерінің өмір сүру шығындарын төлеуді қосқанда)</t>
  </si>
  <si>
    <t xml:space="preserve">Қатысушыларды шетелдік тағылымдамаға жіберуге дайындық(авиабилеттер) </t>
  </si>
  <si>
    <t xml:space="preserve">Қатысушыларды шетелдік тағылымдамаға жіберу (авиабилеттер) </t>
  </si>
  <si>
    <t>Білім беруге арналған ұйымдардың: ережелер мен әдістемелік нұсқаулықтарды дайындаудағы, курстың оқу жоспарын дайындау мен бекітудегі, "Іскерлік байланыстар" жобасы аясында бизнес-тренерлерге  мастер-класстар ұйымдастыру мен өткізудегі қызметтері. Сонымен бірге әкімшілік-басқарушылық шығындары, төлем ақы мен тренер-кеңесшілермен келісу қызметтер бойынша салықтық төлемдері,  бизнес-тренингтердің жобасын дайынау, бактік счетті жүргізудегі банк қыметтері бойынша шығындары</t>
  </si>
  <si>
    <t>Білім беруге қатысты кеңес беру қызметтері</t>
  </si>
  <si>
    <t>Журналдар мен мерзімдік басылымдарда жарнамалық ақпараттарды электронды орналастыру үшін орындар сату қызметтері</t>
  </si>
  <si>
    <t xml:space="preserve">Журналдар мен мерзімдік басылымдарда жарнамалық ақпараттарды электронды түрде орналастыру </t>
  </si>
  <si>
    <t>Кепілдік, субсидия, КҚКО өнімдері бойынша веб-баннерді орналастыру</t>
  </si>
  <si>
    <t>Радиода уақыт сату қызметтері</t>
  </si>
  <si>
    <t>Радиода жарнамалық уақытты сату қызметтері</t>
  </si>
  <si>
    <t>Мемдекеттік қолдау бағраламалары туралы роликтерді радиоға орналастыру қызметтері</t>
  </si>
  <si>
    <t>Теледидар бағдарламаларын шығару қызметтері</t>
  </si>
  <si>
    <t xml:space="preserve">Трансляцияға шығару үшін магниттік лентаға немесе басқа техникалық құралдарға жазылған ақпараттық теледидар бағдарламаларын шығару қызметтері, </t>
  </si>
  <si>
    <t>Жарнамалық тв-роликтерді шығару</t>
  </si>
  <si>
    <t>Сыйақы үшін немесе шарт негізінде, телидидарда жарнамаға араналған орындарды сату немесе жалға беру қызметтері</t>
  </si>
  <si>
    <t>Жарнамалық тв-роликтерді кинотеатрларды киносенстардың алдында орналастыру</t>
  </si>
  <si>
    <t>Лайтбокстарды дайындау қызметтері</t>
  </si>
  <si>
    <t xml:space="preserve">Участие в I Региональном инвестиционно-экономическом Форуме "Эксперт-Западный Казахстан" </t>
  </si>
  <si>
    <t>модернизация сайта www.damu.kz (разработка дизайна, разработка мобильного приложения)</t>
  </si>
  <si>
    <t>"Эксперт-Батыс Қазақстан" І Аймақтық инвестициялық-экономикалық Форуға қатысу</t>
  </si>
  <si>
    <t>Услуги по изменению, добавлению текстов, графических элементов сайта</t>
  </si>
  <si>
    <t>www.damu.kz сайтын қайта құру (дизайн дайындау, мобильдік қосымша дайындау)</t>
  </si>
  <si>
    <t>74.90.13.10.00.00.00</t>
  </si>
  <si>
    <t>Услуги консультационные в области экологии по природоохранному проектированию, нормированию</t>
  </si>
  <si>
    <t>Консультации в области экологии по природоохранному проектированию, разработке системы правил (норм), количественных и качественных показателей (нормативов) состояния окружающей среды и степени воздействия на нее</t>
  </si>
  <si>
    <t>Услуги по оформлению разришительных документов на эмиссий в окружающую среду "Нормативов предельно допустимых выбрасов" для Административного здания</t>
  </si>
  <si>
    <t xml:space="preserve">30 календарных дней с даты подписания договора </t>
  </si>
  <si>
    <t>Экология саласында табиғатты қорғауды жобалау, норма қою бойынша кеңестік қызметтер</t>
  </si>
  <si>
    <t>Экология саласында табиғатты қорғауды жобалау, қоршаған ортаның сандық және сапалық көсеткіштері (нормативтері) және оған әсер ету бойынша ереже жүйесін (нормаларын) дайындауда кеңестік қызметтер</t>
  </si>
  <si>
    <t>Әкімшілік ғимаратқа "Шығыстардың шекті мөлшер нормативтеріне" сәйкес қоршаған ортаға эмиссиялары бойынша рұқсат құжаттарын рәсімдеу қызметтері</t>
  </si>
  <si>
    <t>26.70.17.00.00.03.12.10.1</t>
  </si>
  <si>
    <t>Экран проекционный</t>
  </si>
  <si>
    <t>Подпружиненный с ручным приводом на штативе</t>
  </si>
  <si>
    <t>Проекциялық экран</t>
  </si>
  <si>
    <t>Штативте қолмен іске келтіретін пружинасымен</t>
  </si>
  <si>
    <t>Доска-флипчарт, маркерно-магнитная, тренога с регулировкой высоты в высату до 185 см, размер доски 60х90 см</t>
  </si>
  <si>
    <t>Тақта-флипчарт, маркерлі-магнитті, 185 см биіктікке дейін реттеуге келетін үшаяғымен, тақта көлемі 60х90 см</t>
  </si>
  <si>
    <t>Ручка шариковая с логотипом, пластиковая, автоматическая</t>
  </si>
  <si>
    <t>Шарикті қалам логотипімен бірге, пластиктен, автоматты</t>
  </si>
  <si>
    <t>Р</t>
  </si>
  <si>
    <t>Разработка дизайна, распечатка и оклейка на окнах ЦОП рекламных изображений на перфорированной пленке</t>
  </si>
  <si>
    <t>Дизайн дайындау, перфорирлік пленкада жасалған суреттерді шығару және КҚКО әйнектеріне жапыстыру</t>
  </si>
  <si>
    <t>с даты подписания договора по 31.07.2014г.</t>
  </si>
  <si>
    <t>Расходы на проезд и командирование преподавательского состава в г. Астана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</si>
  <si>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Расходы на проезд и командирование преподавательского состава в г. Алматы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</si>
  <si>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</si>
  <si>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</si>
  <si>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</si>
  <si>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</si>
  <si>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43.21.10.10.10.11.00</t>
  </si>
  <si>
    <t>Участие в выставке "Услуги для малого и среднего бизнеса" в рамках "Стартап форум - 2014"</t>
  </si>
  <si>
    <t xml:space="preserve">Организация  очного обучения в г. Астана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</si>
  <si>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Организация  очного обучения в г. Алматы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</si>
  <si>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Астана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</si>
  <si>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 xml:space="preserve">Алматы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</si>
  <si>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Подготовка учебных материалов в г. Астана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</si>
  <si>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Астана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</si>
  <si>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Подготовка учебных материалов в г. Алматы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</si>
  <si>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Алматы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</si>
  <si>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Услуги образовательного учреждения в г. Алматы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</si>
  <si>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Услуги образовательного учреждения в г. Астана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</si>
  <si>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51.10.13.10.00.00.00</t>
  </si>
  <si>
    <t>Услуги по перевозкам пассажирские воздушным транспортом на международных линиях, подчиняющиеся расписанию</t>
  </si>
  <si>
    <t>Услуги по перевозкам пассажирским воздушным транспортом на международных линиях, подчиняющиеся расписанию</t>
  </si>
  <si>
    <t>Халықаралық жолдармен кестеге сәйкес әуе кемелері арқылы жолаушыларды тасымалдау қызметтері</t>
  </si>
  <si>
    <t>01.19.21.00.00.00.04.10.1</t>
  </si>
  <si>
    <t>Өсімдіктер бөлмелі</t>
  </si>
  <si>
    <t>Растения комнатные</t>
  </si>
  <si>
    <t>Цветы комнатные</t>
  </si>
  <si>
    <t>Гүл бөлмелі</t>
  </si>
  <si>
    <t>Гүл және өсімдіктер бөлмелі горшоқтарда</t>
  </si>
  <si>
    <t>Цветы и растения комнатные в горшках</t>
  </si>
  <si>
    <t>23.49.11.00.00.00.00.31.1</t>
  </si>
  <si>
    <t>Горшок</t>
  </si>
  <si>
    <t>Тауар қаптайтын горшоктар</t>
  </si>
  <si>
    <t>Горшки для упаковки товаров</t>
  </si>
  <si>
    <t xml:space="preserve">Гүлге арналған горшоктар  (үлкен) </t>
  </si>
  <si>
    <t>Горшки для цветов (большой)</t>
  </si>
  <si>
    <t>22.22.19.00.00.10.20.01.1</t>
  </si>
  <si>
    <t>Пластмасадан жасалған басқада қаптағыш заттар</t>
  </si>
  <si>
    <t>Изделия упаковочные прочие из пластмасс</t>
  </si>
  <si>
    <t>Басқа топтамаларда көрсетілмеген, басқа да заттар</t>
  </si>
  <si>
    <t>Пластиктен  жасалған мусорға арналған урна, ішкі</t>
  </si>
  <si>
    <t>Урна пластиковая для мусора внутренняя</t>
  </si>
  <si>
    <t>43.21.10.11.00.00.00</t>
  </si>
  <si>
    <t>Работы по установке электропроводки</t>
  </si>
  <si>
    <t>Работы, связанные с прокладыванием электропроводки в здании (помещении)</t>
  </si>
  <si>
    <t>Монтаж электрического кабеля с подключением лифтового оборудования дизель-генераторной установке</t>
  </si>
  <si>
    <t>Лифтіні дизель-генератор құрылғысына қосу үшін электро кабельді жүргізу жұмыстары</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</si>
  <si>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</si>
  <si>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</si>
  <si>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Оқыс жағдайлардан сақтандыру қызметтері</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</si>
  <si>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</si>
  <si>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Электро желілерді құру жұмыстары</t>
  </si>
  <si>
    <t>Ғимарат (жайларға) электро желілерді құрумен байланысты жұмыстар</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</si>
  <si>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</si>
  <si>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</si>
  <si>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</si>
  <si>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</si>
  <si>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</si>
  <si>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33.20.70.15.00.00.00</t>
  </si>
  <si>
    <t>Установка прибора учета тепловой энергии</t>
  </si>
  <si>
    <t>Жылу энергиясын есепке алу құрылғысын орнату</t>
  </si>
  <si>
    <t xml:space="preserve">45 календарных дней с даты подписания договора </t>
  </si>
  <si>
    <t xml:space="preserve">"Стартап форум - 2014" аясындағы "Кіші және орта бизнеске қызмет" көрмесіне қатысу қызметтері </t>
  </si>
  <si>
    <t>Күнтізбе және өзге кеңсе баспа өнімдерін, оның ішінде имидждік өнімдерді әзірлеу, дайындау, теру және басуға дайындау бойынша қызметтер</t>
  </si>
  <si>
    <t>Разработка и тиражирование печатной продукции по условиям и механизмам мер государственной поддержки (по компоненту "Бизнес-Насихат")</t>
  </si>
  <si>
    <t>Мемлекеттік қолдау шараларының тетіктері мен талаптары бойынша баспа өнімін әзірлеу және тираждау ("Бизнес-Насихат" компоненті бойынша)</t>
  </si>
  <si>
    <t>Подготовка фотогалереи проводимых мероприятий по поддержке предпринимательства (по компоненту "Бизнес-Насихат")</t>
  </si>
  <si>
    <t>Кәсіпкерлікті қолдау бойынша өткізілеітін іс-шаралар фотогалереясын дайындау ("Бизнес-Насихат" компоненті бойынша)</t>
  </si>
  <si>
    <t>Разработка и размещение в СМИ рассказов об участниках Программы («Истории успеха»)  (по компоненту "Бизнес-Насихат")</t>
  </si>
  <si>
    <t>«Сәттілік тарихы» атты бағдарламаның қатысушылары туралы БАҚ әңгімелер дайындау және орналастыру ("Бизнес-Насихат" компоненті бойынша)</t>
  </si>
  <si>
    <t>Разработка и запуск цикла передач в жанре «Специального репортажа» на региональных и республиканских телеканалах  (по компоненту "Бизнес-Насихат")</t>
  </si>
  <si>
    <t>«Арнайы репортажа» жанрында өңірлік және республикалық телеарналардан хабарлар циклын дайындау және шығару ("Бизнес-Насихат" компоненті бойынша)</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</si>
  <si>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  (по компоненту "Бизнес-Насихат")</t>
  </si>
  <si>
    <t>заң мәселелері  және кәсіпкерлік саласын реттеу мәселелері бойынша маманданып жүрген ұйымдарды тарта отырып дайындалған кәсіпкерлік қызмет негіздері бойынша кәсіпкерлерге арналған ақпараттық-аналитикалық анықтамалар мен оқу-әдістемелік оқулықтарды тираждау және тарату ("Бизнес-Насихат" компоненті бойынша)</t>
  </si>
  <si>
    <t>Организация серии телепередач с участием экспертов, предпринимателей, общественных деятелей, зарубежных специалистов (по компоненту "Бизнес-Насихат")</t>
  </si>
  <si>
    <t>Сарапшылардың, кәсіпкерлердің, қоғам қайраткерлерінің, шет ел мамандарының қатысуымен телехабарлар сериясын ұйымдастыру ("Бизнес-Насихат" компоненті бойынша)</t>
  </si>
  <si>
    <t>Проведение открытых лекций, мастер-классов для начинающих предпринимателей (по компоненту "Бизнес-Насихат")</t>
  </si>
  <si>
    <t>Кәсібін жаңа бастаған кәсіпкерлер үшін ашық лекциялар, мастер-кластар өткізу ("Бизнес-Насихат" компоненті бойынша)</t>
  </si>
  <si>
    <t>Организация рубрики по предпринимательству в печатном деловом издании (по компоненту "Бизнес-Насихат")</t>
  </si>
  <si>
    <t>Іскерлік баспа басылымында кәсіпкерлік бойынша айдар ұйымдастыру ("Бизнес-Насихат" компоненті бойынша)</t>
  </si>
  <si>
    <t xml:space="preserve">Ақпараттық іс-шаралар өткізу (форумдар, конференциялар, сессия, семинарлар, кеңестер және т.б.) </t>
  </si>
  <si>
    <t xml:space="preserve">Услуги по повышению квалификации руководящих работников и менеджеров в области внедрения новых методов управления и технологии по реализации компонента "Страшие сеньоры" </t>
  </si>
  <si>
    <t>"Аға сеньорлар" компоненті бойынша басқарушы қызметкерлер  мен менеджерлердің басқару және технологияларға байланысты жаңа әдістерді ендіру саласында біліктілігін көтеру қызметтері</t>
  </si>
  <si>
    <t>Мониторинг реализации проекта "Деловые связи"</t>
  </si>
  <si>
    <t>Организация и проведение мастер-классов в рамках Финансового Клуба</t>
  </si>
  <si>
    <t>с даты подписания договора по 30.04.2014г.</t>
  </si>
  <si>
    <t>41.00.40.30.10.00.00</t>
  </si>
  <si>
    <t>Работы строительные по реконструкции административного здания</t>
  </si>
  <si>
    <t>Әкімшілік ғимаратты қайта құру жұмыстары</t>
  </si>
  <si>
    <t>Комплекс работ по реконструкции административного здания офисного типа</t>
  </si>
  <si>
    <t>Әкімшілік ғимаратты қайта құрудағы комплексті жұмыстар</t>
  </si>
  <si>
    <t>Установка перегородок, перил, зеркал, покраска стен и потолков, демонтаж ограждений, асфальта, монтаж асфальта и бордюр</t>
  </si>
  <si>
    <t xml:space="preserve"> Конференц залға арнлаған стол</t>
  </si>
  <si>
    <t>Стол для конференц зала</t>
  </si>
  <si>
    <t>Конференц-стол из закаленного стекла толщиной 100 мм, 3000*1400*750 мм</t>
  </si>
  <si>
    <t>31.01.12.00.00.00.04.01.1</t>
  </si>
  <si>
    <t>ДСП жасалынған журнал үстелі</t>
  </si>
  <si>
    <t>Стол журнальный. ДСП.</t>
  </si>
  <si>
    <t>Каркас ДСП, столещница из закаленного стекла 1000*500*450 мм</t>
  </si>
  <si>
    <t>31.02.10.00.00.01.03.02.1</t>
  </si>
  <si>
    <t>Для посуды с выдвижными ящиками</t>
  </si>
  <si>
    <t>Шкаф для посуды / бар из массива древесины. Внутри располагаются полки и выдвижные ящики (для салфеток, скатертей, полотенец). Распашные дверцы обиты кожей (квадратные детали сшиты вручную) или полностью выполнены из древесины. Фасады снабжены металлическими ручками.</t>
  </si>
  <si>
    <t>Цветы, листья и фрукты искусственные и их части</t>
  </si>
  <si>
    <t>Цветы искусственные</t>
  </si>
  <si>
    <t>Фито-модуль 2*1 м с логотипом, система автотоплива, дренаж, удобрения, комплект труб</t>
  </si>
  <si>
    <t>01.19.21.00.00.00.03.90.1</t>
  </si>
  <si>
    <t>Горшоктағы гүл мен өсімдіктер бөлмелі</t>
  </si>
  <si>
    <t>Написанная маслом, 70*150*2,8 см</t>
  </si>
  <si>
    <t>Картина</t>
  </si>
  <si>
    <t>26.52.14.00.00.00.04.20.1</t>
  </si>
  <si>
    <t>Часы настольные</t>
  </si>
  <si>
    <t>Электрические</t>
  </si>
  <si>
    <t>13.92.15.00.00.50.20.03.2</t>
  </si>
  <si>
    <t>Аралас маталардан жасалған жалюздер</t>
  </si>
  <si>
    <t>Жалюзи из смешанных тканей</t>
  </si>
  <si>
    <t>Мақта маталардане жасалған жалюздердің басқа түрлері</t>
  </si>
  <si>
    <t>Прочие виды жалюзи из ткани из волокон хлопка</t>
  </si>
  <si>
    <t>Жалюзи вертикальные, роликовые, горизонтальные</t>
  </si>
  <si>
    <t>Вертикальная, стальная, 20 л</t>
  </si>
  <si>
    <t>Канистра</t>
  </si>
  <si>
    <t>25.91.12.00.00.10.14.10.1</t>
  </si>
  <si>
    <t>Цветочная компазиция</t>
  </si>
  <si>
    <t>27.12.31.16.11.11.11.10.1</t>
  </si>
  <si>
    <t>Ящик для счетчика электроэнергии</t>
  </si>
  <si>
    <t>30 рабочих дней с даты подписания договора</t>
  </si>
  <si>
    <t>27.12.22.91.11.11.11.10.1</t>
  </si>
  <si>
    <t>Выключатель автоматический</t>
  </si>
  <si>
    <t>52.21.19.40.13.00.00</t>
  </si>
  <si>
    <t>Услуги по проведению энергетической экспертизы технического состояния электроустановок</t>
  </si>
  <si>
    <t>Демонтаж кровельного покрытия, монтаж колонн входной группы,  ферм, связей и прогонов входной группы, устройство кровельного покрытия профнастилом, установка галтелей фасадных колонн и полуколонн капителей</t>
  </si>
  <si>
    <t>26.51.63.14.13.11.11.11.1</t>
  </si>
  <si>
    <t xml:space="preserve">Счетчик электрической энергии </t>
  </si>
  <si>
    <t xml:space="preserve">Счетчик электрической энергии типа «Дала» СА4-Э720 ТХР PLC IP </t>
  </si>
  <si>
    <t>27.40.22.00.00.11.10.14.1</t>
  </si>
  <si>
    <t xml:space="preserve">Прожектор </t>
  </si>
  <si>
    <t>Для освещения здания (архитектурный):</t>
  </si>
  <si>
    <t>73.11.11.17.00.00.00</t>
  </si>
  <si>
    <t>Услуги по маркетинговым консультациям</t>
  </si>
  <si>
    <t>Маркетингтік кеңес беру қызметтері</t>
  </si>
  <si>
    <t>«Іскерлік байланыстар» жобасының іске асрылуының мониторингі</t>
  </si>
  <si>
    <t>Қаржылық клуб аясында мастер-класстар ұйымдастыру және өткізу</t>
  </si>
  <si>
    <t>Аралық қабырғалар, баспалдақ таяныштарын, айналар құру, қабырға едендерді сырлау, асфальт бордюрларды бұзу қайта құру</t>
  </si>
  <si>
    <t>32.99.55.00.00.00.00.15.1</t>
  </si>
  <si>
    <t>Изделия, сделанные из искусственных цветов, листьев и фруктов (например, букеты, гирлянды, венки, растения)</t>
  </si>
  <si>
    <t>Жасанды гүл, жапырақ және жемістер, олардың бөлшектері</t>
  </si>
  <si>
    <t>Жасанды гүлден жасалған заттар (мысалы, букеттер, гирляндалар, веноктар, өсімдіктер)</t>
  </si>
  <si>
    <t>Жасанды гүлдер</t>
  </si>
  <si>
    <t>Басқа материалдардан қабырғалық</t>
  </si>
  <si>
    <t>Настенная из прочих материалов</t>
  </si>
  <si>
    <t>Маймен жаэылған, 70*150*2,8 см</t>
  </si>
  <si>
    <t>Үстелге арналған сағат</t>
  </si>
  <si>
    <t>Электрические. С механизмом часовым, отличным от обычного (для систем часовых электрических).</t>
  </si>
  <si>
    <t>Электронды. Қалыпты сағаттық механизмнен бөлек (электронды сағат жүйесі үшін)</t>
  </si>
  <si>
    <t>Электронды</t>
  </si>
  <si>
    <t>Вертикалды жалюздер, роликтермен, горизонталды</t>
  </si>
  <si>
    <t>Канистры для любых веществ (кроме газов) вместимостью менее 50 л из черных металлов</t>
  </si>
  <si>
    <t>Барлық сұйықтықтарға арналған канистра (газдан бөлек), қара темірден жасалған көлемі 50 л кем емес</t>
  </si>
  <si>
    <t>Вертикалды, болат 20 л</t>
  </si>
  <si>
    <t>Готовая цветочная композиция из цветов одного вида или сборная</t>
  </si>
  <si>
    <t>Гүл компазициясы</t>
  </si>
  <si>
    <t>Бір түрлі немесе әр түрлі гүлдерден жасалған компазиция</t>
  </si>
  <si>
    <t>Фито-модуль 2*1 м логотипімен, автотоплива жүйесі, дренаж, трубалар комплекті</t>
  </si>
  <si>
    <t>Шыңдалған шыныдан жасалған конференц-үстел, көлемі 100 мм, 3000*1400*750 мм</t>
  </si>
  <si>
    <t>Қабырғалары ДСП, үстел беті шыңдалған шыны 1000*500*450 мм</t>
  </si>
  <si>
    <t>Ыдысқа арналған шкаф/массивті ағаштан жасалған бар. Ішінде жылжымалы қобдишалары бар (салфеткалар, дастархандарға, қол шашықтарға арналған). Ашылмалы есіктері былғарымен қапталған (квадратты бөлшектері қолдан тігілген) немесе толық ағаштан жасалған. Фассады темір ашқыштармен жабдықталған</t>
  </si>
  <si>
    <t>Ыдысқа арналған жылжымалы қобдишасымен</t>
  </si>
  <si>
    <t>типа ЯАЕ, для защиты от перегрузок и токов короткого замыкания электрических установок, питаемых от сетей переменного тока, для нечастых оперативных включений и отключений этих устаноновок. Номинальный ток от 10 до 63 А</t>
  </si>
  <si>
    <t>Электроэнергия есептегішіне арналған қобдиша</t>
  </si>
  <si>
    <t>Басқалар</t>
  </si>
  <si>
    <t>Прочий</t>
  </si>
  <si>
    <t>Техникалық жағдайына энергетикалық сараптама жүргізу қызметтері</t>
  </si>
  <si>
    <t>Энергетическая экспертиза технического состояния электроустановок</t>
  </si>
  <si>
    <t>Электроқондырғылардың техникалық жағдайына энергетикалық сараптама жүргізу қызметтері</t>
  </si>
  <si>
    <t xml:space="preserve">Жабу құралдарын бұзу, кіру топтамасының колонналарын құру, ферм, жабу құралдарын профнастилмен қайта құру, кіру топтамасындағы фассад коллонналарының галтелдерін құру </t>
  </si>
  <si>
    <t>СЭТ-4ТМ.03. Трехфазный многотарифный цифровой счетчик с последовательным цифровым интерфейсом передачи данных, трансформаторного включения (ТТ и ТН), прямого и обратного направления, активной и реактивной энергии. Соответствуют ГОСТ 30206-94</t>
  </si>
  <si>
    <t>СЭТ-4ТМ.03. Үш фазалы көптарифтік сандық счетчик, мәліметтерді жолдауға  сандық интерфейсі бар, трансформаторлық қосқыш (ТТ и ТН), тікелей және қайта бағыттағыш, активті және реактивті энергии. ГОСТ 30206-94 сәйкес</t>
  </si>
  <si>
    <t>Электр энергиясының счетчигі</t>
  </si>
  <si>
    <t xml:space="preserve">Электр энергиясының счетчигі «Дала» СА4-Э720 ТХР PLC IP типті </t>
  </si>
  <si>
    <t>ГОСТ 6047-90, К-лампы ксеноновые</t>
  </si>
  <si>
    <t>ГОСТ 6047-90, К-лампы ксеноннан</t>
  </si>
  <si>
    <t>Ғимаратты жарықтандыру үшін (архитиктуралы)</t>
  </si>
  <si>
    <t>ЯАЕ типтес, кезекті ток желілеріне қосылған, электр қондырғыларды токтың қысқа тұйықталуынан,шамадан тыс берілуінен қорғауға арналған, осы қондырғыларды жылдам және опреативті қосу үшін. Номиналды ток 10 нан 63 А дейн</t>
  </si>
  <si>
    <t>14.19.22.00.00.00.10.10.1</t>
  </si>
  <si>
    <t>Костюм спортивный</t>
  </si>
  <si>
    <t>Костюмы спортивные мужские из хлопчатобумажных тканей</t>
  </si>
  <si>
    <t>Футболки, шорты, гетры, вратарская экипировка</t>
  </si>
  <si>
    <t>Спорттық костюмдер</t>
  </si>
  <si>
    <t>Ерлерге арналған мақта-мата кездемесінен жасалған спорттық костюмдер</t>
  </si>
  <si>
    <t>Футболкалар, шорты, гетры, қақпашы экипировкасы</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</si>
  <si>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</si>
  <si>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</si>
  <si>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</si>
  <si>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обработке и анализу данных анкетирования предпринимателей и представления результатов</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</si>
  <si>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</si>
  <si>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</si>
  <si>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Кәсіпкерлерден алынған сауалнамаларды өңдеу және талдау, оның нәтижелерін беру қызметтері</t>
  </si>
  <si>
    <t>27.12.22.11.15.12.11.10.1</t>
  </si>
  <si>
    <t>Автоматты ажырақыш</t>
  </si>
  <si>
    <t>Үш полисті нейтральмен бірге, магниттік ажыратқышымен (расцепитель), А типтес, үлкен қашықтықтағы электрожелілерді ажыратуға және жартылай өткізгіштік құрылғыларды қорғауға арналған</t>
  </si>
  <si>
    <t>Трехполюсный с нейтралью, с магнитным размыкателем (расцепитель), типа А, для размыкания цепей с большой протяженностью электропроводки и для защиты полупроводниковых устройств .</t>
  </si>
  <si>
    <t>С кабелем и наконечником</t>
  </si>
  <si>
    <t>Кабелі және ұштығымен бірге</t>
  </si>
  <si>
    <t>Услуги по мониторингу выхода информации о Фонде (пресс-досье) и предоставлению контент-анализа материалов СМИ</t>
  </si>
  <si>
    <t>Қоғам туралы ақпараттардың мониторингі (пресс-досье) және контент-талдауларды беру қызметтері</t>
  </si>
  <si>
    <t>35.22.10.10.10.00.00</t>
  </si>
  <si>
    <t>Услуги по распределению газообразного топлива по газораспределительным сетям</t>
  </si>
  <si>
    <t>Услуги по распределению газообразного топлива по газораспределительным сетям для отопительных нужд</t>
  </si>
  <si>
    <t>Газтасымалдау жүйесі бойынша газ типтес жанармай тарату қызметтері</t>
  </si>
  <si>
    <t>Жылыту үшін газтасымалдау жүйесі бойынша газ типтес жанармай тарату қызметтері</t>
  </si>
  <si>
    <t>Проведение конкурса среди представителей СМИ на лучший материал о Программе или о предпринимательстве в целом (по компоненту "Бизнес-Насихат")</t>
  </si>
  <si>
    <t>БАҚ өкілдері арасында Бағдарлама туралы немесе жалпы кәсіпкерлік туралы ең үздік материалға конкурс өткізу ("Бизнес-Насихат" компоненті бойынша)</t>
  </si>
  <si>
    <t>Организация и проведение конкурса «Лучший предприниматель года» (по компоненту "Бизнес-Насихат")</t>
  </si>
  <si>
    <t>«Жылдың үздік кәсіпкері» конкурсын ұйымдастыру және өткізу ("Бизнес-Насихат" компоненті бойынша)</t>
  </si>
  <si>
    <t>63.11.11.30.10.00.00</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</si>
  <si>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</si>
  <si>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</si>
  <si>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Услуги по восстановлению хронологии договоров субсидирования и графиков в Системе.</t>
  </si>
  <si>
    <t>150 календарных дней с даты подписания договора</t>
  </si>
  <si>
    <t>63.99.10.30.00.00</t>
  </si>
  <si>
    <t>Услуги информационные</t>
  </si>
  <si>
    <t>Услуги по предоставлению и (или) обработке информации</t>
  </si>
  <si>
    <t>Услуги по расшифровке распоряжений по выплаченным субсидиям с разбивкой сумм до даты погашения, указанием источника финансирования за период с 2010 по 2012г.</t>
  </si>
  <si>
    <t>82.99.19.10.00.00.00</t>
  </si>
  <si>
    <t>Услуги  вспомогательные коммерчиские прочие, не включенные в другие группировки</t>
  </si>
  <si>
    <t>Прочие услуги вспомогательные коммерческие, не включенные в другие группировки</t>
  </si>
  <si>
    <t>Услуги по найму аутсорсинговой компании для  внесения информаций по списанию банками субсидий на основании данных ДБУиО</t>
  </si>
  <si>
    <t>82.19.13.90.00.00</t>
  </si>
  <si>
    <t>Услуги по подготовке документов и услуги офисные специализированные вспомогательные прочие</t>
  </si>
  <si>
    <t>Подготовка документов и прочие услуги офисные специализированные вспомогательные, не включенные в другие группировки.</t>
  </si>
  <si>
    <t>Услуги по найму аутсорсинговой компании для формирования  актов сверки  по субсидированию с БВУ в разрезе заемщиков.</t>
  </si>
  <si>
    <t>Мәлметтерді толтыру қызметтері</t>
  </si>
  <si>
    <t>Мәліметтерді магниттік лентаға, дискіге және басқа да ақпарат тасмалдағыштарға немесе ақпараттық жүйеге (желіге) толтыру қызметтері</t>
  </si>
  <si>
    <t>Жүйеде субсидиялау шарртары мен кестелердің хронологиясын қалпына келтіру қызметтері</t>
  </si>
  <si>
    <t>Ақпараттық қызметтер</t>
  </si>
  <si>
    <t>Ақпараттарды беру және (немесе) өңдеу қызметтері</t>
  </si>
  <si>
    <t>Өзге топтарға кіргізілмеген тағы басқа коммерциялық көмекші қызметтер</t>
  </si>
  <si>
    <t>БЕжЕБД мәлметтерінің негізінде банктердің субсидияларды есептен шығару ақпараттарын ендіру үшін аутсорсингтік компнияны жалдау қызметтері</t>
  </si>
  <si>
    <t>Құжаттарды дайындау және мамандандырылған көмекші офистік қызметтер</t>
  </si>
  <si>
    <t>Құжаттарды дайындау және өзге топтарға кіргізілмеген басқа да мамандандырылған көмекші офистік қызметтер</t>
  </si>
  <si>
    <t>ЕДБ мен субсидиялау бойынша қарызгерлер тұрғысынан салыстырмалы актілерді дайындау үшін аутсорсингтік компанияны жалдау қызметтері</t>
  </si>
  <si>
    <t>Төленген субсидиялар өкімдерінің мағынасын  өтеу мерзіміне дейінгі соммаларымен ашу, 2010 мен 2012 жылдар аралығындағы қаржыландыру көзерін көсету қызметтері</t>
  </si>
  <si>
    <t>71.12.19.16.10.00.00</t>
  </si>
  <si>
    <t>Работы изыскательские</t>
  </si>
  <si>
    <t>Разработка эскизного проекта здания</t>
  </si>
  <si>
    <t xml:space="preserve">Разработка генерального плана участка ЦОП </t>
  </si>
  <si>
    <t>10 календарных дней с даты подписания договора</t>
  </si>
  <si>
    <t>71.12.19.11.00.00.00</t>
  </si>
  <si>
    <t>Работы инженерные по проектированию прочему</t>
  </si>
  <si>
    <t>Разработка сметной документации по ремонту фасада здания ЦОП</t>
  </si>
  <si>
    <t>43.33.10.10.00.00.00</t>
  </si>
  <si>
    <t>Работы по облицовке</t>
  </si>
  <si>
    <t>Обработка стен (шлифовка). Внутренняя/наружная отделка стен</t>
  </si>
  <si>
    <t>Ремонт фасада здания ЦОП</t>
  </si>
  <si>
    <t>42.11.20.20.30.00.00</t>
  </si>
  <si>
    <t>Работы строительные по ремонту прочих дорог</t>
  </si>
  <si>
    <t>Работы строительные по ремонту основания, покрытия дорог прочих</t>
  </si>
  <si>
    <t xml:space="preserve">Ремонт асфальтобетонного покрытия </t>
  </si>
  <si>
    <t>60 календарных дней с даты подписания договора</t>
  </si>
  <si>
    <t xml:space="preserve">Благоустройство и озеленение территории </t>
  </si>
  <si>
    <t>Аймақты көгалдандыру және сәулеттендіру</t>
  </si>
  <si>
    <t>Іздестіру жұмыстары</t>
  </si>
  <si>
    <t>Ғимартаттың эскиздік жобасын дайындау</t>
  </si>
  <si>
    <t>КҚКО жер телімінің бас жоспарын дайындау</t>
  </si>
  <si>
    <t>Басқа да инженерлік жобалау жұмыстары</t>
  </si>
  <si>
    <t>КҚКО ғимаратының қасбетін жөндеудің сметалық құжаттарын дайындау</t>
  </si>
  <si>
    <t>Қаптама жұмыстары</t>
  </si>
  <si>
    <t>Қабырғаларды өңдеу (шлифовка). Ішкі/сыртқы қабырғаларды өңдеу</t>
  </si>
  <si>
    <t>КҚКО ғимаратының қасбетін жөндеу</t>
  </si>
  <si>
    <t>Басқа да жолдарды жөндеу құрылыс жұмыстары</t>
  </si>
  <si>
    <t xml:space="preserve"> Басқа да жол қабаттарын, негізін (іргесін) жөндеу құрылыс жұмыстары</t>
  </si>
  <si>
    <t>Асфальтобетондық қабатты жөндеу</t>
  </si>
  <si>
    <t>Деректерді сақтау жүйесі</t>
  </si>
  <si>
    <t>Франчайзинг бойынша көрме өткізу үшін жайды жалға алу і</t>
  </si>
  <si>
    <t>32.99.61.00.00.00.30.10.1</t>
  </si>
  <si>
    <t>Программный  продукт для введения бухгалтерского учета</t>
  </si>
  <si>
    <t>Бухгалтерлік есепті жүргізуге арналған бағдарламалық өнім</t>
  </si>
  <si>
    <t>1С: Предприятие 8. Управление производственным предприятием для Казахстана</t>
  </si>
  <si>
    <t>1С: Предприятие 8. Қазақстан өндіріс кәсіпорнын басқаруға арналған</t>
  </si>
  <si>
    <t>26.70.13.00.00.00.21.80.1</t>
  </si>
  <si>
    <t>Со сменной оптикой. Зеркальные. Число эффективных пикселов: от 22 млн и более.</t>
  </si>
  <si>
    <t>Ауыспалы оптикасымен. Айналандырылған. Эфективті пиксельдердің саны: 22 мл. және одан жоғары</t>
  </si>
  <si>
    <t>Қағаз үшін қыспа</t>
  </si>
  <si>
    <t>Кәдесый өнімі</t>
  </si>
  <si>
    <t>13.92.29.00.00.00.60.80.1</t>
  </si>
  <si>
    <t>Чехол</t>
  </si>
  <si>
    <t>Чехлы из текстильных материалов для одежды, автомобилей, чемоданов, теннисных ракеток и т.п.</t>
  </si>
  <si>
    <t>Чехлы для автомашины</t>
  </si>
  <si>
    <t>Автокөлік чехолы</t>
  </si>
  <si>
    <t>Киімге, автокөлікке, чемодандарға, тенистік ракеткаларға  және т.б. арналған текстильді материалдардан жасалған чехолдар</t>
  </si>
  <si>
    <t>58.19.29.10.41.00.00</t>
  </si>
  <si>
    <t>Услуги по изданию (размещению) содержания прочего в сети, не включенного в другие группировки, прочие</t>
  </si>
  <si>
    <t>Өзге топтарға кіргізілмеген, желіде басқа да мазмұндарды шығару (орналастыру) қызметтері</t>
  </si>
  <si>
    <t>Услуги по изданию (размещению) интервью, обзоры, истории успеха в сети</t>
  </si>
  <si>
    <t>Желіде сұқбаттар, шолулар, сәттілік тарихтарын шығару (орналастыру) қызметтері</t>
  </si>
  <si>
    <t>Жеңіл автомобиль</t>
  </si>
  <si>
    <t>Услуги по организации и проведению тренинга для тренеров ШМП</t>
  </si>
  <si>
    <t>ЖКМ тренерлеріне тренинг ұйымдастыру және өткізу бойынша қызметтер</t>
  </si>
  <si>
    <t>Бизнес-жоспарларды іске асыру қорытындысы бойынша Кеңейтілген конференция өткізу</t>
  </si>
  <si>
    <t>Услуги по созданию стенда инвестиционной выставки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</si>
  <si>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"Қзақстан күндері" стендін дайындау қызметтері</t>
  </si>
  <si>
    <t>с даты подписания договора по 15.05.2014г.</t>
  </si>
  <si>
    <t>стендтерде</t>
  </si>
  <si>
    <t>на стендах</t>
  </si>
  <si>
    <t>Оформление выставочного стенда для участия в инвестиционной выставке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</si>
  <si>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қатысу үшін "Қзақстан күндері" стендін ресімдеу қызметтері</t>
  </si>
  <si>
    <t>71.11.22.11.00.00.00</t>
  </si>
  <si>
    <t>Техническое обследование, оценка технического состояния строительных конструкций зданий и сооружений</t>
  </si>
  <si>
    <t xml:space="preserve">Ғимараттың құрылыс конструциясының техникалық бақылау және техникалық жағдайына баға беру  </t>
  </si>
  <si>
    <t>31.01.12.00.00.02.01.04.1</t>
  </si>
  <si>
    <t>Стол ЛДСП рабочий. Габариты (ширина/длина) от 600/1201мм до 650/1300мм. Толщина столешницы 15-30мм, ПВХ 2-4мм.</t>
  </si>
  <si>
    <t>Жұмыс столы ЛДСП. Көлемдері (ұзындығы/ені)  600/1201мм. ден 650/1300 мм. Дейін. Қалыңдығы столешница 15-30мм, ПВХ 2-4мм</t>
  </si>
  <si>
    <t>Стол для лекционного зала</t>
  </si>
  <si>
    <t xml:space="preserve">Лекциялық залға  арналған үстел </t>
  </si>
  <si>
    <t>31.01.11.00.00.00.07.07.1</t>
  </si>
  <si>
    <t>Стул из гобелена. С выдживной пластиковой партой. Ножки черные металлические.</t>
  </si>
  <si>
    <t>Гобеленнен тігілген орындық. Жылжымалы пластиктен жасаған партасымен. Аяғы қара темірден</t>
  </si>
  <si>
    <t>Услуги по разработке учебно-методического пособия в рамках проекта "Бизнес-Советник-2"</t>
  </si>
  <si>
    <t>"Бизнес-Кеңесші-2" жобасы аясында оқу-әдістемелік құралдарын дайындау бойынша қызметтер</t>
  </si>
  <si>
    <t>Услуги по тиражированию раздаточных материалов в рамках проекта "Бизнес-Советник", "Бизнес-Советник - 2"</t>
  </si>
  <si>
    <t>"Бизнес-Кеңесші", "Бизнес-Кеңесші-2" жобалары аясында таратпа материалдарды дайындау бойынша қызметтер</t>
  </si>
  <si>
    <t>с даты подписания договора по 30.11.2014г.</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</si>
  <si>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</si>
  <si>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Услуги по предоставлению онлайн-сервиса по соданию бизнес-планов, актуализация типовых бизнес-планов</t>
  </si>
  <si>
    <t>Бизнес-жобаларды дайындау, типтік бизнес-жобаларды актуализациялау бойынша онлайн-сервис қызметтерін ұсыну</t>
  </si>
  <si>
    <t>с даты подписания договора по 30.10.2014г.</t>
  </si>
  <si>
    <t>81.30.10.16.00.00.00</t>
  </si>
  <si>
    <t>Работы по благоустройству территории</t>
  </si>
  <si>
    <t xml:space="preserve">Комплекс работ предусматривающий организацию уборки территории, содержание, эксплуатацию, ремонт и охрану объектов и элементов благоустройства </t>
  </si>
  <si>
    <t>Аумақты көріктендіру  жұмыстары</t>
  </si>
  <si>
    <t>Аумақты тазалауды ұйымдастыру, объектіні және көркемдеу элементтерін ұстау, пайдалану, жөндеу және қорғауды қамтитын кешенді жұмыстар</t>
  </si>
  <si>
    <t>Демонтаж-монтаж тратуарной плитки, устройство бордюров, устройство кровли из полигаля, устройство покрытия из керамогранита и т.д.</t>
  </si>
  <si>
    <t>Тратуар плиталарын бұзу-қайта құру, бардюрлерді құру, полигалден шатыр құру, керамограниттен жабынды құру және т.б.</t>
  </si>
  <si>
    <t>25 календарных дней с даты подписания договора</t>
  </si>
  <si>
    <t>27.40.24.00.00.10.13.13.1</t>
  </si>
  <si>
    <t>Указательный знак</t>
  </si>
  <si>
    <t>ГОСТ 12.4.026-76, Расположение определенного места, объекта или средства</t>
  </si>
  <si>
    <t>15 рабочих дней с даты подписания договора</t>
  </si>
  <si>
    <t>Сілтеме белгі</t>
  </si>
  <si>
    <t xml:space="preserve">ГОСТ 12.4.026-76, жердің, объектінің немесе құралдың орналасқан жері </t>
  </si>
  <si>
    <t>27.40.24.00.00.10.13.12.1</t>
  </si>
  <si>
    <t>ГОСТ 12.4.026-76, Место курения</t>
  </si>
  <si>
    <t>ГОСТ 12.4.026-76, темекі тартатын орын</t>
  </si>
  <si>
    <t>27.40.24.00.00.10.12.19.1</t>
  </si>
  <si>
    <t>Предписывающий знак</t>
  </si>
  <si>
    <t>ГОСТ 12.4.026-76, Предписание определенных действий, направленных на обеспечение безопасности труда и пожарнойбезопасности</t>
  </si>
  <si>
    <t>Ұйғарым белгі</t>
  </si>
  <si>
    <t>ГОСТ 12.4.026-76, қауіпсіздікті қамтамассыз етуге бағытталған іс-әрекет ұйғарымы</t>
  </si>
  <si>
    <t>28.29.22.00.00.00.12.13.1</t>
  </si>
  <si>
    <t>Огнетушитель передвижной</t>
  </si>
  <si>
    <t>Жылжымалы өртсөндіргіш</t>
  </si>
  <si>
    <t>Огнетушитель передвижной воздушно-пенный со средней кратности пенной струи</t>
  </si>
  <si>
    <t>Орташа еселік ауа-көбікті жылжымалы өртсөндіргіш</t>
  </si>
  <si>
    <t>13.99.13.00.00.00.70.10.1</t>
  </si>
  <si>
    <t>Войлок юртовый (кошма)</t>
  </si>
  <si>
    <t>Противопожарный</t>
  </si>
  <si>
    <t>Қар үй киізі</t>
  </si>
  <si>
    <t>16.23.20.00.00.00.00.20.2</t>
  </si>
  <si>
    <t>Конструкция строительная сборная деревянная</t>
  </si>
  <si>
    <t>Щиты  и детали щитов прочие</t>
  </si>
  <si>
    <t>Ағаштан жасалған құрылыс конструкциясы</t>
  </si>
  <si>
    <t>Щит және щиттің басқа да  бөлшектері</t>
  </si>
  <si>
    <t>25.91.11.00.00.10.15.10.1</t>
  </si>
  <si>
    <t>Ящик</t>
  </si>
  <si>
    <t>Для любых веществ (кроме газов) вместимостью 50 л и более, но не более 300 л из черных металлов</t>
  </si>
  <si>
    <t>Барлық заттарға арналғани (газдан бөлек) сыйымдылығы 50 л және одан жоғары, бірақ 300 л артық емес, кара темірден жасалған</t>
  </si>
  <si>
    <t>71.12.12.15.00.00.00</t>
  </si>
  <si>
    <t>Работы инженерные по проектированию</t>
  </si>
  <si>
    <t>Разработка проектно-сметной документации по реконструкции зданий</t>
  </si>
  <si>
    <t>Жобалау бойынша инженерлік жұмыстар</t>
  </si>
  <si>
    <t>Ғимаратты қайта құруға байланымты жобалық-смета құаттарын дайындау</t>
  </si>
  <si>
    <t>ДГБ қызмет көрсету</t>
  </si>
  <si>
    <t xml:space="preserve">Обслуживание ДГУ </t>
  </si>
  <si>
    <t>43.21.10.10.20.11.00</t>
  </si>
  <si>
    <t>Услуги, связанные с устройством пожарной сигнализации на объекте</t>
  </si>
  <si>
    <t>Услуги по устройству пожарной сигнализации</t>
  </si>
  <si>
    <t>Өрт хабарлағышын орнатумен байланысты қызметтер</t>
  </si>
  <si>
    <t>Нысанға өрт хабарлағышын  орнатумен байланысты қызметтер</t>
  </si>
  <si>
    <t>Монтаж пожарной сигнализации в здании ЦОП</t>
  </si>
  <si>
    <t>КҚО ғимаратына өрт хабарлағышын орнатумен байланысты қызметтер</t>
  </si>
  <si>
    <t>Обслуживание сплит-систем (кондиционеров) здания ЦОП</t>
  </si>
  <si>
    <t>КҚО ғимаратының сплит жүйесін (кондицинерлерін) жөндеу және қызмет көрсету</t>
  </si>
  <si>
    <t>73.12.19.31.12.00.00</t>
  </si>
  <si>
    <t>Саулелік сыртқы маңдайша дайындау қызметтері</t>
  </si>
  <si>
    <t xml:space="preserve">Услуги по изготовлению наружной световой вывески </t>
  </si>
  <si>
    <t>Саулелік таблоларда</t>
  </si>
  <si>
    <t>На световых табло</t>
  </si>
  <si>
    <t>71.12.12.10.00.00.00</t>
  </si>
  <si>
    <t>Составлению сметной документации</t>
  </si>
  <si>
    <t xml:space="preserve">Сметалық құжаттарды дайындау </t>
  </si>
  <si>
    <t>Подставка под огнетушитель</t>
  </si>
  <si>
    <t>Өртсөндіргішке арналған тығырық</t>
  </si>
  <si>
    <t>Өртсөндіргіш</t>
  </si>
  <si>
    <t>Огнетушитель</t>
  </si>
  <si>
    <t>Газдалған, көмірқышқылды жылжымалы өртсөндіргіш</t>
  </si>
  <si>
    <t>Огнетушитель переносной газовый углекислотный</t>
  </si>
  <si>
    <t>22.29.25.00.00.00.18.46.1</t>
  </si>
  <si>
    <t>Подставка</t>
  </si>
  <si>
    <t xml:space="preserve">Прочие, не включенные в другие группировки </t>
  </si>
  <si>
    <t>Тығырық</t>
  </si>
  <si>
    <t>Өзге топтарға кіргізілмеген тағы басқалар</t>
  </si>
  <si>
    <t>Размещение в СМИ объявлений о торгах залогового имущества</t>
  </si>
  <si>
    <t>Кепіл мүлікті сату туралы хабарландыруларды БАҚ орналастыру қызметтері</t>
  </si>
  <si>
    <t>Услуги по размещению корпоративной колонки по информированию населения о Программе развития сектора обрабатывающей промышленности</t>
  </si>
  <si>
    <t>с даты подписания договора по 31.08.2014г.</t>
  </si>
  <si>
    <t xml:space="preserve">Қайта өңдеу өндіріс секторын дамыту бағдарламасы бойынша корпоративті колонканы жүргізу арқылы халықты ақпараттандыру қызметтері </t>
  </si>
  <si>
    <t>Услуги по размещению информационных материалов в печатных СМИ по программам государственной поддержки субъектов малого и среднего  предпринимательства,  занятых в сфере обрабатывающей промышленности</t>
  </si>
  <si>
    <t xml:space="preserve">Қайта өңдеу өндірісімен айналысатын кіші және орта кәсіпкерлік субъектіліріне көрестілетін мемлекеттік қолдау ақпараттарын баспа БАҚ орналастыру қызметтері </t>
  </si>
  <si>
    <t>с даты подписания договора по 31.05.2014г.</t>
  </si>
  <si>
    <t>Услуги по проведению  семинаров, с целью информирования населения о Программе развития сектора обрабатывающей промышленности</t>
  </si>
  <si>
    <t>Қайта өңдеу өндіріс секторын дамыту бағдарламасын ақпараттандыру мақсатында семинар өткізу қызметтері</t>
  </si>
  <si>
    <t>с изменениями от 05.05.2014г., приказ № 53-п</t>
  </si>
  <si>
    <t>Приложение № 1 к приказу от 05.05.2014г., приказ № 53-п</t>
  </si>
</sst>
</file>

<file path=xl/styles.xml><?xml version="1.0" encoding="utf-8"?>
<styleSheet xmlns="http://schemas.openxmlformats.org/spreadsheetml/2006/main">
  <numFmts count="7">
    <numFmt numFmtId="43" formatCode="_-* #,##0.00_р_._-;\-* #,##0.00_р_._-;_-* &quot;-&quot;??_р_._-;_-@_-"/>
    <numFmt numFmtId="164" formatCode="dd/mm/yy;@"/>
    <numFmt numFmtId="165" formatCode="dd\.mm\.yy;@"/>
    <numFmt numFmtId="166" formatCode="_(* #,##0.00_);_(* \(#,##0.00\);_(* &quot;-&quot;??_);_(@_)"/>
    <numFmt numFmtId="167" formatCode="000000"/>
    <numFmt numFmtId="168" formatCode="00"/>
    <numFmt numFmtId="169" formatCode="000"/>
  </numFmts>
  <fonts count="2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10"/>
      <name val="Arial"/>
      <family val="2"/>
      <charset val="204"/>
    </font>
    <font>
      <sz val="11"/>
      <name val="Times New Roman"/>
      <family val="1"/>
      <charset val="204"/>
    </font>
    <font>
      <sz val="8"/>
      <name val="Times New Roman"/>
      <family val="1"/>
      <charset val="204"/>
    </font>
    <font>
      <sz val="10"/>
      <color indexed="64"/>
      <name val="Times New Roman"/>
      <family val="1"/>
      <charset val="204"/>
    </font>
    <font>
      <b/>
      <sz val="12"/>
      <name val="Times New Roman"/>
      <family val="1"/>
      <charset val="204"/>
    </font>
    <font>
      <sz val="10"/>
      <color theme="1"/>
      <name val="Times New Roman"/>
      <family val="1"/>
      <charset val="204"/>
    </font>
    <font>
      <sz val="12"/>
      <name val="Times New Roman"/>
      <family val="1"/>
      <charset val="204"/>
    </font>
    <font>
      <sz val="10"/>
      <color rgb="FF000000"/>
      <name val="Times New Roman"/>
      <family val="1"/>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indexed="2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84">
    <xf numFmtId="0" fontId="0" fillId="0" borderId="0"/>
    <xf numFmtId="166" fontId="11" fillId="0" borderId="0" applyFont="0" applyFill="0" applyBorder="0" applyAlignment="0" applyProtection="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11" fillId="0" borderId="0"/>
    <xf numFmtId="0" fontId="7" fillId="0" borderId="0"/>
    <xf numFmtId="0" fontId="7"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1" fillId="0" borderId="0"/>
    <xf numFmtId="0" fontId="4" fillId="0" borderId="0"/>
    <xf numFmtId="0" fontId="4" fillId="0" borderId="0"/>
    <xf numFmtId="0" fontId="3" fillId="0" borderId="0"/>
    <xf numFmtId="0" fontId="2" fillId="0" borderId="0"/>
    <xf numFmtId="0" fontId="2" fillId="0" borderId="0"/>
    <xf numFmtId="0" fontId="1" fillId="0" borderId="0"/>
    <xf numFmtId="1" fontId="19" fillId="0" borderId="0">
      <alignment horizontal="center" vertical="top" wrapText="1"/>
    </xf>
    <xf numFmtId="168"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 fontId="19" fillId="0" borderId="0">
      <alignment horizontal="center" vertical="top" wrapText="1"/>
    </xf>
    <xf numFmtId="168" fontId="19" fillId="0" borderId="0">
      <alignment horizontal="center" vertical="top" wrapText="1"/>
    </xf>
    <xf numFmtId="169" fontId="19" fillId="0" borderId="0">
      <alignment horizontal="center" vertical="top" wrapText="1"/>
    </xf>
    <xf numFmtId="169" fontId="19" fillId="0" borderId="0">
      <alignment horizontal="center" vertical="top" wrapText="1"/>
    </xf>
    <xf numFmtId="169" fontId="19" fillId="0" borderId="0">
      <alignment horizontal="center" vertical="top" wrapText="1"/>
    </xf>
    <xf numFmtId="0" fontId="19" fillId="0" borderId="0">
      <alignment horizontal="left" vertical="top" wrapText="1"/>
    </xf>
    <xf numFmtId="0" fontId="19" fillId="0" borderId="0">
      <alignment horizontal="left" vertical="top" wrapText="1"/>
    </xf>
    <xf numFmtId="0" fontId="19" fillId="0" borderId="2">
      <alignment horizontal="left" vertical="top"/>
    </xf>
    <xf numFmtId="0" fontId="19" fillId="0" borderId="23">
      <alignment horizontal="center" vertical="top" wrapText="1"/>
    </xf>
    <xf numFmtId="0" fontId="19" fillId="0" borderId="0">
      <alignment horizontal="left" vertical="top"/>
    </xf>
    <xf numFmtId="0" fontId="19" fillId="0" borderId="24">
      <alignment horizontal="left" vertical="top"/>
    </xf>
    <xf numFmtId="0" fontId="20" fillId="3" borderId="2">
      <alignment horizontal="left" vertical="top" wrapText="1"/>
    </xf>
    <xf numFmtId="0" fontId="20" fillId="3" borderId="2">
      <alignment horizontal="left" vertical="top" wrapText="1"/>
    </xf>
    <xf numFmtId="0" fontId="21" fillId="0" borderId="2">
      <alignment horizontal="left" vertical="top" wrapText="1"/>
    </xf>
    <xf numFmtId="0" fontId="19" fillId="0" borderId="2">
      <alignment horizontal="left" vertical="top" wrapText="1"/>
    </xf>
    <xf numFmtId="0" fontId="22" fillId="0" borderId="2">
      <alignment horizontal="left" vertical="top" wrapText="1"/>
    </xf>
    <xf numFmtId="0" fontId="23" fillId="0" borderId="0"/>
    <xf numFmtId="0" fontId="24" fillId="0" borderId="0"/>
    <xf numFmtId="0" fontId="7" fillId="0" borderId="0"/>
    <xf numFmtId="0" fontId="25" fillId="0" borderId="0">
      <alignment horizontal="center" vertical="top"/>
    </xf>
    <xf numFmtId="0" fontId="19" fillId="0" borderId="25">
      <alignment horizontal="center" textRotation="90" wrapText="1"/>
    </xf>
    <xf numFmtId="0" fontId="19" fillId="0" borderId="25">
      <alignment horizontal="center" vertical="center" wrapText="1"/>
    </xf>
    <xf numFmtId="1" fontId="26" fillId="0" borderId="0">
      <alignment horizontal="center" vertical="top" wrapText="1"/>
    </xf>
    <xf numFmtId="168" fontId="26" fillId="0" borderId="2">
      <alignment horizontal="center" vertical="top" wrapText="1"/>
    </xf>
    <xf numFmtId="169" fontId="26" fillId="0" borderId="2">
      <alignment horizontal="center" vertical="top" wrapText="1"/>
    </xf>
    <xf numFmtId="169" fontId="26" fillId="0" borderId="2">
      <alignment horizontal="center" vertical="top" wrapText="1"/>
    </xf>
    <xf numFmtId="169" fontId="26" fillId="0" borderId="2">
      <alignment horizontal="center"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1" fillId="0" borderId="0"/>
    <xf numFmtId="0" fontId="7" fillId="0" borderId="0"/>
    <xf numFmtId="0" fontId="7" fillId="0" borderId="0"/>
    <xf numFmtId="0" fontId="1" fillId="0" borderId="0"/>
    <xf numFmtId="0" fontId="7" fillId="0" borderId="0"/>
    <xf numFmtId="0" fontId="7" fillId="0" borderId="0"/>
    <xf numFmtId="0" fontId="11" fillId="0" borderId="0"/>
    <xf numFmtId="0" fontId="11" fillId="0" borderId="0"/>
  </cellStyleXfs>
  <cellXfs count="171">
    <xf numFmtId="0" fontId="0" fillId="0" borderId="0" xfId="0"/>
    <xf numFmtId="0" fontId="8" fillId="0" borderId="0" xfId="2" applyFont="1" applyFill="1" applyAlignment="1">
      <alignment vertical="top"/>
    </xf>
    <xf numFmtId="0" fontId="8" fillId="0" borderId="0" xfId="2" applyFont="1" applyFill="1" applyBorder="1" applyAlignment="1">
      <alignment vertical="top" wrapText="1"/>
    </xf>
    <xf numFmtId="0" fontId="8" fillId="0" borderId="0" xfId="2" applyFont="1" applyFill="1" applyBorder="1" applyAlignment="1">
      <alignment vertical="top"/>
    </xf>
    <xf numFmtId="0" fontId="8" fillId="0" borderId="0" xfId="2" applyFont="1" applyFill="1" applyBorder="1" applyAlignment="1">
      <alignment horizontal="center" vertical="center"/>
    </xf>
    <xf numFmtId="0" fontId="8" fillId="0" borderId="1" xfId="2" applyFont="1" applyFill="1" applyBorder="1" applyAlignment="1">
      <alignment horizontal="center" vertical="center"/>
    </xf>
    <xf numFmtId="0" fontId="8" fillId="0" borderId="1" xfId="2" applyFont="1" applyFill="1" applyBorder="1" applyAlignment="1">
      <alignment horizontal="center" vertical="center" wrapText="1"/>
    </xf>
    <xf numFmtId="3" fontId="8" fillId="0" borderId="1" xfId="2" applyNumberFormat="1" applyFont="1" applyFill="1" applyBorder="1" applyAlignment="1">
      <alignment horizontal="center" vertical="center"/>
    </xf>
    <xf numFmtId="0" fontId="8" fillId="0" borderId="0" xfId="2" applyFont="1" applyFill="1" applyAlignment="1">
      <alignment horizontal="center" vertical="center"/>
    </xf>
    <xf numFmtId="0" fontId="8" fillId="0" borderId="1"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0" xfId="2" applyFont="1" applyFill="1"/>
    <xf numFmtId="0" fontId="8" fillId="0" borderId="0" xfId="2" applyFont="1" applyFill="1" applyAlignment="1">
      <alignment vertical="top" wrapText="1"/>
    </xf>
    <xf numFmtId="0" fontId="8" fillId="0" borderId="1" xfId="0"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8" fillId="0" borderId="0" xfId="2" applyFont="1" applyFill="1" applyBorder="1" applyAlignment="1">
      <alignment horizontal="center" vertical="center" wrapText="1"/>
    </xf>
    <xf numFmtId="0" fontId="9" fillId="0" borderId="3" xfId="2" applyFont="1" applyFill="1" applyBorder="1" applyAlignment="1">
      <alignment horizontal="center" vertical="center" wrapText="1"/>
    </xf>
    <xf numFmtId="3" fontId="9" fillId="0" borderId="3" xfId="2" applyNumberFormat="1" applyFont="1" applyFill="1" applyBorder="1" applyAlignment="1">
      <alignment horizontal="center" vertical="center" wrapText="1"/>
    </xf>
    <xf numFmtId="0" fontId="9" fillId="0" borderId="4" xfId="2" applyFont="1" applyFill="1" applyBorder="1" applyAlignment="1">
      <alignment horizontal="center" vertical="center" wrapText="1"/>
    </xf>
    <xf numFmtId="3" fontId="9" fillId="0" borderId="4" xfId="2" applyNumberFormat="1"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1" xfId="2" applyFont="1" applyFill="1" applyBorder="1" applyAlignment="1">
      <alignment horizontal="center" vertical="center" wrapText="1"/>
    </xf>
    <xf numFmtId="3" fontId="8" fillId="0" borderId="1" xfId="2" applyNumberFormat="1" applyFont="1" applyFill="1" applyBorder="1" applyAlignment="1">
      <alignment horizontal="center" vertical="center" wrapText="1"/>
    </xf>
    <xf numFmtId="49" fontId="8" fillId="0" borderId="0" xfId="2" applyNumberFormat="1" applyFont="1" applyFill="1" applyAlignment="1">
      <alignment horizontal="center" vertical="center" wrapText="1"/>
    </xf>
    <xf numFmtId="3" fontId="8" fillId="0" borderId="0" xfId="2" applyNumberFormat="1" applyFont="1" applyFill="1" applyAlignment="1">
      <alignment horizontal="center" vertical="center" wrapText="1"/>
    </xf>
    <xf numFmtId="0" fontId="9" fillId="0" borderId="0"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0" xfId="2" applyFont="1" applyFill="1" applyAlignment="1">
      <alignment horizontal="center" vertical="center" wrapText="1"/>
    </xf>
    <xf numFmtId="3" fontId="9" fillId="0" borderId="1" xfId="2"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0" fontId="9" fillId="0" borderId="0" xfId="2" applyFont="1" applyFill="1" applyAlignment="1">
      <alignment horizontal="center" vertical="center" wrapText="1"/>
    </xf>
    <xf numFmtId="0" fontId="8" fillId="0" borderId="2" xfId="2" applyFont="1" applyFill="1" applyBorder="1" applyAlignment="1">
      <alignment horizontal="center" vertical="center" wrapText="1"/>
    </xf>
    <xf numFmtId="49" fontId="8" fillId="0" borderId="11" xfId="2" applyNumberFormat="1"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wrapText="1"/>
    </xf>
    <xf numFmtId="164" fontId="8" fillId="0" borderId="1" xfId="2" applyNumberFormat="1" applyFont="1" applyFill="1" applyBorder="1" applyAlignment="1">
      <alignment horizontal="center" vertical="center" wrapText="1"/>
    </xf>
    <xf numFmtId="0" fontId="8" fillId="0" borderId="0" xfId="2" applyFont="1" applyFill="1" applyBorder="1" applyAlignment="1">
      <alignment vertical="center" wrapText="1"/>
    </xf>
    <xf numFmtId="0" fontId="8" fillId="0" borderId="0" xfId="2" applyFont="1" applyFill="1" applyAlignment="1">
      <alignment vertical="center" wrapText="1"/>
    </xf>
    <xf numFmtId="0" fontId="8" fillId="0" borderId="10" xfId="2" applyFont="1" applyFill="1" applyBorder="1" applyAlignment="1">
      <alignment horizontal="center" vertical="center" wrapText="1"/>
    </xf>
    <xf numFmtId="0" fontId="8" fillId="0" borderId="0" xfId="2" applyFont="1" applyFill="1" applyBorder="1" applyAlignment="1">
      <alignment horizontal="center" vertical="top" wrapText="1"/>
    </xf>
    <xf numFmtId="0" fontId="8" fillId="0" borderId="0" xfId="2" applyFont="1" applyFill="1" applyAlignment="1">
      <alignment horizontal="center" vertical="top" wrapText="1"/>
    </xf>
    <xf numFmtId="0" fontId="8" fillId="0" borderId="0" xfId="2" applyFont="1" applyFill="1" applyAlignment="1">
      <alignment wrapText="1"/>
    </xf>
    <xf numFmtId="0" fontId="8" fillId="0" borderId="0" xfId="2" applyFont="1" applyFill="1" applyAlignment="1">
      <alignment horizontal="center" wrapText="1"/>
    </xf>
    <xf numFmtId="0" fontId="13" fillId="0" borderId="0" xfId="2" applyFont="1" applyFill="1" applyAlignment="1">
      <alignment horizontal="center" vertical="center"/>
    </xf>
    <xf numFmtId="0" fontId="8" fillId="0" borderId="1" xfId="6" applyFont="1" applyFill="1" applyBorder="1" applyAlignment="1">
      <alignment horizontal="center" vertical="center" wrapText="1"/>
    </xf>
    <xf numFmtId="0" fontId="9" fillId="0" borderId="0" xfId="2" applyFont="1" applyFill="1" applyBorder="1" applyAlignment="1">
      <alignment vertical="top"/>
    </xf>
    <xf numFmtId="0" fontId="8" fillId="0" borderId="9"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0" xfId="2" applyFont="1" applyFill="1" applyBorder="1" applyAlignment="1">
      <alignment vertical="top" wrapText="1"/>
    </xf>
    <xf numFmtId="0" fontId="9" fillId="0" borderId="0" xfId="2" applyFont="1" applyFill="1" applyBorder="1" applyAlignment="1">
      <alignment vertical="center" wrapText="1"/>
    </xf>
    <xf numFmtId="0" fontId="9" fillId="0" borderId="0" xfId="2" applyFont="1" applyFill="1" applyAlignment="1">
      <alignment vertical="center" wrapText="1"/>
    </xf>
    <xf numFmtId="4" fontId="8" fillId="0" borderId="1" xfId="0" applyNumberFormat="1" applyFont="1" applyFill="1" applyBorder="1" applyAlignment="1">
      <alignment horizontal="center" vertical="center" wrapText="1"/>
    </xf>
    <xf numFmtId="49" fontId="8" fillId="0" borderId="1" xfId="19"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0" fontId="11" fillId="0" borderId="0" xfId="0" applyFont="1" applyFill="1"/>
    <xf numFmtId="0" fontId="8" fillId="0" borderId="0" xfId="2" applyFont="1" applyFill="1" applyAlignment="1">
      <alignment horizontal="center" vertical="center" wrapText="1"/>
    </xf>
    <xf numFmtId="4" fontId="8" fillId="0" borderId="10" xfId="0" applyNumberFormat="1" applyFont="1" applyFill="1" applyBorder="1" applyAlignment="1">
      <alignment horizontal="center" vertical="center" wrapText="1"/>
    </xf>
    <xf numFmtId="0" fontId="12" fillId="0" borderId="1" xfId="2" applyFont="1" applyFill="1" applyBorder="1" applyAlignment="1">
      <alignment horizontal="center" vertical="center"/>
    </xf>
    <xf numFmtId="3" fontId="8" fillId="0" borderId="1" xfId="1" applyNumberFormat="1" applyFont="1" applyFill="1" applyBorder="1" applyAlignment="1">
      <alignment horizontal="center" vertical="center" wrapText="1"/>
    </xf>
    <xf numFmtId="3" fontId="8" fillId="0" borderId="1" xfId="2" applyNumberFormat="1" applyFont="1" applyFill="1" applyBorder="1" applyAlignment="1">
      <alignment horizontal="center" wrapText="1"/>
    </xf>
    <xf numFmtId="3" fontId="8" fillId="0" borderId="1" xfId="6" applyNumberFormat="1" applyFont="1" applyFill="1" applyBorder="1" applyAlignment="1">
      <alignment horizontal="center" vertical="center" wrapText="1"/>
    </xf>
    <xf numFmtId="3" fontId="8" fillId="0" borderId="1" xfId="2" applyNumberFormat="1" applyFont="1" applyFill="1" applyBorder="1" applyAlignment="1">
      <alignment horizontal="center" vertical="top" wrapText="1"/>
    </xf>
    <xf numFmtId="3" fontId="8" fillId="0" borderId="1" xfId="0" applyNumberFormat="1" applyFont="1" applyFill="1" applyBorder="1" applyAlignment="1">
      <alignment horizontal="center" vertical="center"/>
    </xf>
    <xf numFmtId="49" fontId="8" fillId="0" borderId="1" xfId="2" applyNumberFormat="1" applyFont="1" applyFill="1" applyBorder="1" applyAlignment="1">
      <alignment horizontal="center" vertical="center"/>
    </xf>
    <xf numFmtId="167" fontId="14" fillId="0" borderId="1" xfId="0" applyNumberFormat="1" applyFont="1" applyFill="1" applyBorder="1" applyAlignment="1">
      <alignment horizontal="center" vertical="center" wrapText="1"/>
    </xf>
    <xf numFmtId="0" fontId="9" fillId="0" borderId="0" xfId="2" applyFont="1" applyFill="1" applyBorder="1" applyAlignment="1">
      <alignment horizontal="left" vertical="top"/>
    </xf>
    <xf numFmtId="0" fontId="8" fillId="0" borderId="0" xfId="2" applyFont="1" applyFill="1" applyBorder="1" applyAlignment="1">
      <alignment horizontal="left" vertical="top" wrapText="1"/>
    </xf>
    <xf numFmtId="3" fontId="8" fillId="0" borderId="0" xfId="2" applyNumberFormat="1" applyFont="1" applyFill="1" applyAlignment="1">
      <alignment vertical="top"/>
    </xf>
    <xf numFmtId="0" fontId="9" fillId="0" borderId="3" xfId="2" applyFont="1" applyFill="1" applyBorder="1" applyAlignment="1">
      <alignment horizontal="center" vertical="top" wrapText="1"/>
    </xf>
    <xf numFmtId="3" fontId="9" fillId="0" borderId="0" xfId="2" applyNumberFormat="1" applyFont="1" applyFill="1" applyBorder="1" applyAlignment="1">
      <alignment horizontal="center" vertical="top"/>
    </xf>
    <xf numFmtId="0" fontId="8" fillId="0" borderId="18" xfId="2" applyFont="1" applyFill="1" applyBorder="1" applyAlignment="1">
      <alignment horizontal="center" vertical="center" wrapText="1"/>
    </xf>
    <xf numFmtId="49" fontId="8" fillId="0" borderId="4" xfId="2" applyNumberFormat="1" applyFont="1" applyFill="1" applyBorder="1" applyAlignment="1">
      <alignment horizontal="center" vertical="top" wrapText="1"/>
    </xf>
    <xf numFmtId="0" fontId="8" fillId="0" borderId="4" xfId="2" applyFont="1" applyFill="1" applyBorder="1" applyAlignment="1">
      <alignment horizontal="center" vertical="top" wrapText="1"/>
    </xf>
    <xf numFmtId="0" fontId="9" fillId="0" borderId="0" xfId="2" applyFont="1" applyFill="1" applyBorder="1" applyAlignment="1">
      <alignment horizontal="left" vertical="top" wrapText="1"/>
    </xf>
    <xf numFmtId="3" fontId="9" fillId="0" borderId="0" xfId="2" applyNumberFormat="1" applyFont="1" applyFill="1" applyBorder="1" applyAlignment="1">
      <alignment vertical="top" wrapText="1"/>
    </xf>
    <xf numFmtId="14" fontId="9" fillId="0" borderId="0" xfId="2" applyNumberFormat="1" applyFont="1" applyFill="1" applyBorder="1" applyAlignment="1">
      <alignment horizontal="left" vertical="top"/>
    </xf>
    <xf numFmtId="3" fontId="9" fillId="0" borderId="0" xfId="2" applyNumberFormat="1" applyFont="1" applyFill="1" applyBorder="1" applyAlignment="1">
      <alignment horizontal="left" vertical="top"/>
    </xf>
    <xf numFmtId="0" fontId="15" fillId="0" borderId="0" xfId="2" applyFont="1" applyFill="1" applyBorder="1" applyAlignment="1">
      <alignment horizontal="left" vertical="top"/>
    </xf>
    <xf numFmtId="167" fontId="14" fillId="0" borderId="1" xfId="0" applyNumberFormat="1" applyFont="1" applyFill="1" applyBorder="1" applyAlignment="1" applyProtection="1">
      <alignment horizontal="center" vertical="center" wrapText="1"/>
      <protection locked="0"/>
    </xf>
    <xf numFmtId="4" fontId="8" fillId="0" borderId="9" xfId="2" applyNumberFormat="1" applyFont="1" applyFill="1" applyBorder="1" applyAlignment="1">
      <alignment horizontal="center" vertical="center"/>
    </xf>
    <xf numFmtId="4" fontId="9" fillId="0" borderId="1" xfId="2" applyNumberFormat="1" applyFont="1" applyFill="1" applyBorder="1" applyAlignment="1">
      <alignment horizontal="center" vertical="center" wrapText="1"/>
    </xf>
    <xf numFmtId="0" fontId="8" fillId="0" borderId="9" xfId="2" applyFont="1" applyFill="1" applyBorder="1" applyAlignment="1">
      <alignment horizontal="center" vertical="center" wrapText="1"/>
    </xf>
    <xf numFmtId="3" fontId="8" fillId="0" borderId="9" xfId="0" applyNumberFormat="1" applyFont="1" applyFill="1" applyBorder="1" applyAlignment="1">
      <alignment horizontal="center" vertical="center" wrapText="1"/>
    </xf>
    <xf numFmtId="4" fontId="8" fillId="0" borderId="9"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9" fillId="0" borderId="0" xfId="2" applyFont="1" applyFill="1" applyAlignment="1">
      <alignment vertical="top" wrapText="1"/>
    </xf>
    <xf numFmtId="167" fontId="8" fillId="0" borderId="1" xfId="0" applyNumberFormat="1" applyFont="1" applyFill="1" applyBorder="1" applyAlignment="1">
      <alignment horizontal="center" vertical="center" wrapText="1"/>
    </xf>
    <xf numFmtId="49" fontId="8" fillId="0" borderId="1" xfId="22" applyNumberFormat="1" applyFont="1" applyFill="1" applyBorder="1" applyAlignment="1">
      <alignment horizontal="center" vertical="center" wrapText="1"/>
    </xf>
    <xf numFmtId="167" fontId="8" fillId="0" borderId="1" xfId="22"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8" fillId="0" borderId="8" xfId="2" applyFont="1" applyFill="1" applyBorder="1" applyAlignment="1">
      <alignment horizontal="center" vertical="center" wrapText="1"/>
    </xf>
    <xf numFmtId="0" fontId="16" fillId="0" borderId="1" xfId="2"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167" fontId="14" fillId="0" borderId="10"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9" fontId="14" fillId="0" borderId="1" xfId="22" applyNumberFormat="1" applyFont="1" applyFill="1" applyBorder="1" applyAlignment="1">
      <alignment horizontal="center" vertical="center" wrapText="1"/>
    </xf>
    <xf numFmtId="167" fontId="14" fillId="0" borderId="1" xfId="22" applyNumberFormat="1" applyFont="1" applyFill="1" applyBorder="1" applyAlignment="1">
      <alignment horizontal="center" vertical="center" wrapText="1"/>
    </xf>
    <xf numFmtId="0" fontId="16" fillId="0" borderId="1" xfId="23" applyFont="1" applyFill="1" applyBorder="1" applyAlignment="1">
      <alignment horizontal="center" vertical="center"/>
    </xf>
    <xf numFmtId="4" fontId="8" fillId="0" borderId="1" xfId="2" applyNumberFormat="1" applyFont="1" applyFill="1" applyBorder="1" applyAlignment="1">
      <alignment horizontal="center" vertical="center" wrapText="1"/>
    </xf>
    <xf numFmtId="0" fontId="8" fillId="2" borderId="1" xfId="2" applyFont="1" applyFill="1" applyBorder="1" applyAlignment="1">
      <alignment horizontal="center" vertical="center" wrapText="1"/>
    </xf>
    <xf numFmtId="49" fontId="8" fillId="2" borderId="11" xfId="2"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7" fontId="14"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3" fontId="8" fillId="2" borderId="1" xfId="2"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0" fontId="8" fillId="2" borderId="0" xfId="2" applyFont="1" applyFill="1" applyAlignment="1">
      <alignment horizontal="center" vertical="center" wrapText="1"/>
    </xf>
    <xf numFmtId="49" fontId="8" fillId="2" borderId="1" xfId="2" applyNumberFormat="1"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0" xfId="2" applyFont="1" applyFill="1" applyBorder="1" applyAlignment="1">
      <alignment vertical="top"/>
    </xf>
    <xf numFmtId="0" fontId="8" fillId="2" borderId="0" xfId="2" applyFont="1" applyFill="1" applyAlignment="1">
      <alignment vertical="top"/>
    </xf>
    <xf numFmtId="0" fontId="8" fillId="2" borderId="1" xfId="2" applyFont="1" applyFill="1" applyBorder="1" applyAlignment="1">
      <alignment horizontal="center" vertical="center"/>
    </xf>
    <xf numFmtId="167" fontId="8" fillId="2" borderId="1" xfId="0" applyNumberFormat="1" applyFont="1" applyFill="1" applyBorder="1" applyAlignment="1">
      <alignment horizontal="center" vertical="center" wrapText="1"/>
    </xf>
    <xf numFmtId="2" fontId="8" fillId="0" borderId="0" xfId="2" applyNumberFormat="1" applyFont="1" applyFill="1" applyAlignment="1">
      <alignment horizontal="center" vertical="center"/>
    </xf>
    <xf numFmtId="2" fontId="0" fillId="0" borderId="0" xfId="0" applyNumberFormat="1"/>
    <xf numFmtId="49" fontId="8" fillId="0" borderId="1" xfId="0" applyNumberFormat="1" applyFont="1" applyFill="1" applyBorder="1" applyAlignment="1">
      <alignment horizontal="center" vertical="center"/>
    </xf>
    <xf numFmtId="0" fontId="8" fillId="0" borderId="0" xfId="2" applyFont="1" applyFill="1" applyBorder="1" applyAlignment="1">
      <alignment vertical="center"/>
    </xf>
    <xf numFmtId="4" fontId="8" fillId="0" borderId="1" xfId="2" applyNumberFormat="1" applyFont="1" applyFill="1" applyBorder="1" applyAlignment="1">
      <alignment horizontal="center" vertical="center"/>
    </xf>
    <xf numFmtId="0" fontId="8" fillId="0" borderId="0" xfId="2" applyFont="1" applyFill="1" applyAlignment="1">
      <alignment vertical="center"/>
    </xf>
    <xf numFmtId="0" fontId="18" fillId="0" borderId="1" xfId="0" applyFont="1" applyFill="1" applyBorder="1" applyAlignment="1">
      <alignment horizontal="center" vertical="center" wrapText="1"/>
    </xf>
    <xf numFmtId="3" fontId="8" fillId="0" borderId="10" xfId="2"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8" fillId="2" borderId="0" xfId="2" applyFont="1" applyFill="1" applyBorder="1" applyAlignment="1">
      <alignment vertical="top" wrapText="1"/>
    </xf>
    <xf numFmtId="0" fontId="8" fillId="2" borderId="0" xfId="2" applyFont="1" applyFill="1" applyAlignment="1">
      <alignment vertical="top" wrapText="1"/>
    </xf>
    <xf numFmtId="0" fontId="8" fillId="2" borderId="10" xfId="2" applyFont="1" applyFill="1" applyBorder="1" applyAlignment="1">
      <alignment horizontal="center" vertical="center" wrapText="1"/>
    </xf>
    <xf numFmtId="0" fontId="8" fillId="2" borderId="0" xfId="2" applyFont="1" applyFill="1" applyBorder="1" applyAlignment="1">
      <alignment vertical="center" wrapText="1"/>
    </xf>
    <xf numFmtId="0" fontId="8" fillId="2" borderId="0" xfId="2" applyFont="1" applyFill="1" applyAlignment="1">
      <alignment vertical="center" wrapText="1"/>
    </xf>
    <xf numFmtId="0" fontId="8" fillId="2" borderId="0" xfId="2" applyFont="1" applyFill="1" applyBorder="1" applyAlignment="1">
      <alignment horizontal="center" vertical="top" wrapText="1"/>
    </xf>
    <xf numFmtId="0" fontId="8" fillId="2" borderId="0" xfId="2" applyFont="1" applyFill="1" applyAlignment="1">
      <alignment horizontal="center" vertical="top" wrapText="1"/>
    </xf>
    <xf numFmtId="0" fontId="8" fillId="2" borderId="10" xfId="6" applyFont="1" applyFill="1" applyBorder="1" applyAlignment="1">
      <alignment horizontal="center" vertical="center" wrapText="1"/>
    </xf>
    <xf numFmtId="0" fontId="8" fillId="2" borderId="0" xfId="0" applyFont="1" applyFill="1" applyAlignment="1">
      <alignment wrapText="1"/>
    </xf>
    <xf numFmtId="0" fontId="10" fillId="2" borderId="0" xfId="2" applyFont="1" applyFill="1" applyBorder="1" applyAlignment="1">
      <alignment horizontal="center" vertical="center" wrapText="1"/>
    </xf>
    <xf numFmtId="0" fontId="10" fillId="2" borderId="0" xfId="2" applyFont="1" applyFill="1" applyAlignment="1">
      <alignment horizontal="center" vertical="center" wrapText="1"/>
    </xf>
    <xf numFmtId="0" fontId="9" fillId="0" borderId="0" xfId="2" applyFont="1" applyFill="1" applyAlignment="1">
      <alignment vertical="top"/>
    </xf>
    <xf numFmtId="0" fontId="16" fillId="0" borderId="1" xfId="0" applyFont="1" applyFill="1" applyBorder="1" applyAlignment="1">
      <alignment horizontal="center" vertical="center" wrapText="1"/>
    </xf>
    <xf numFmtId="49" fontId="8" fillId="2" borderId="1" xfId="19" applyNumberFormat="1" applyFont="1" applyFill="1" applyBorder="1" applyAlignment="1">
      <alignment horizontal="center" vertical="center" wrapText="1"/>
    </xf>
    <xf numFmtId="0" fontId="8" fillId="2" borderId="1" xfId="21" applyFont="1" applyFill="1" applyBorder="1" applyAlignment="1">
      <alignment horizontal="center" vertical="center" wrapText="1"/>
    </xf>
    <xf numFmtId="0" fontId="11" fillId="2" borderId="0" xfId="0" applyFont="1" applyFill="1"/>
    <xf numFmtId="49" fontId="8" fillId="2" borderId="1" xfId="2"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0" xfId="2" applyFont="1" applyFill="1" applyBorder="1" applyAlignment="1">
      <alignment horizontal="center" vertical="center"/>
    </xf>
    <xf numFmtId="3" fontId="8" fillId="2" borderId="1" xfId="2" applyNumberFormat="1" applyFont="1" applyFill="1" applyBorder="1" applyAlignment="1">
      <alignment horizontal="center" vertical="center"/>
    </xf>
    <xf numFmtId="4" fontId="8" fillId="2" borderId="9" xfId="2" applyNumberFormat="1" applyFont="1" applyFill="1" applyBorder="1" applyAlignment="1">
      <alignment horizontal="center" vertical="center"/>
    </xf>
    <xf numFmtId="0" fontId="8" fillId="2" borderId="0" xfId="2" applyFont="1" applyFill="1" applyAlignment="1">
      <alignment horizontal="center" vertical="center"/>
    </xf>
    <xf numFmtId="0" fontId="8" fillId="2" borderId="0" xfId="2" applyFont="1" applyFill="1" applyAlignment="1">
      <alignment horizontal="center" wrapText="1"/>
    </xf>
    <xf numFmtId="0" fontId="8" fillId="2" borderId="0" xfId="2" applyFont="1" applyFill="1" applyAlignment="1">
      <alignment wrapText="1"/>
    </xf>
    <xf numFmtId="0" fontId="8" fillId="2" borderId="11" xfId="2"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164" fontId="8" fillId="2" borderId="1" xfId="2"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wrapText="1"/>
    </xf>
    <xf numFmtId="0" fontId="8" fillId="0" borderId="1" xfId="21" applyFont="1" applyFill="1" applyBorder="1" applyAlignment="1">
      <alignment horizontal="center" vertical="center" wrapText="1"/>
    </xf>
    <xf numFmtId="0" fontId="9" fillId="0" borderId="12" xfId="2" applyFont="1" applyFill="1" applyBorder="1" applyAlignment="1">
      <alignment horizontal="center" vertical="top"/>
    </xf>
    <xf numFmtId="0" fontId="9" fillId="0" borderId="13" xfId="2" applyFont="1" applyFill="1" applyBorder="1" applyAlignment="1">
      <alignment horizontal="center" vertical="top"/>
    </xf>
    <xf numFmtId="0" fontId="9" fillId="0" borderId="14" xfId="2" applyFont="1" applyFill="1" applyBorder="1" applyAlignment="1">
      <alignment horizontal="center" vertical="top"/>
    </xf>
    <xf numFmtId="0" fontId="8" fillId="0" borderId="15"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17" xfId="2" applyFont="1" applyFill="1" applyBorder="1" applyAlignment="1">
      <alignment horizontal="center" vertical="center"/>
    </xf>
    <xf numFmtId="3" fontId="8" fillId="0" borderId="19" xfId="2" applyNumberFormat="1" applyFont="1" applyFill="1" applyBorder="1" applyAlignment="1">
      <alignment horizontal="center" vertical="top"/>
    </xf>
    <xf numFmtId="3" fontId="8" fillId="0" borderId="20" xfId="2" applyNumberFormat="1" applyFont="1" applyFill="1" applyBorder="1" applyAlignment="1">
      <alignment horizontal="center" vertical="top"/>
    </xf>
    <xf numFmtId="3" fontId="8" fillId="0" borderId="21" xfId="2" applyNumberFormat="1" applyFont="1" applyFill="1" applyBorder="1" applyAlignment="1">
      <alignment horizontal="center" vertical="top"/>
    </xf>
  </cellXfs>
  <cellStyles count="84">
    <cellStyle name="Cell1" xfId="25"/>
    <cellStyle name="Cell2" xfId="26"/>
    <cellStyle name="Cell3" xfId="27"/>
    <cellStyle name="Cell4" xfId="28"/>
    <cellStyle name="Cell5" xfId="29"/>
    <cellStyle name="Column1" xfId="30"/>
    <cellStyle name="Column2" xfId="31"/>
    <cellStyle name="Column3" xfId="32"/>
    <cellStyle name="Column4" xfId="33"/>
    <cellStyle name="Column5" xfId="34"/>
    <cellStyle name="Column7" xfId="35"/>
    <cellStyle name="Data" xfId="36"/>
    <cellStyle name="Heading1" xfId="37"/>
    <cellStyle name="Heading2" xfId="38"/>
    <cellStyle name="Heading3" xfId="39"/>
    <cellStyle name="Heading4" xfId="40"/>
    <cellStyle name="Name1" xfId="41"/>
    <cellStyle name="Name2" xfId="42"/>
    <cellStyle name="Name3" xfId="43"/>
    <cellStyle name="Name4" xfId="44"/>
    <cellStyle name="Name5" xfId="45"/>
    <cellStyle name="Normal 5" xfId="46"/>
    <cellStyle name="Normal 6" xfId="47"/>
    <cellStyle name="Normal_формы ПР утвержденные" xfId="48"/>
    <cellStyle name="Title1" xfId="49"/>
    <cellStyle name="TitleCol1" xfId="50"/>
    <cellStyle name="TitleCol2" xfId="51"/>
    <cellStyle name="White1" xfId="52"/>
    <cellStyle name="White2" xfId="53"/>
    <cellStyle name="White3" xfId="54"/>
    <cellStyle name="White4" xfId="55"/>
    <cellStyle name="White5" xfId="56"/>
    <cellStyle name="КАНДАГАЧ тел3-33-96" xfId="11"/>
    <cellStyle name="Обычный" xfId="0" builtinId="0"/>
    <cellStyle name="Обычный 10" xfId="4"/>
    <cellStyle name="Обычный 10 2" xfId="19"/>
    <cellStyle name="Обычный 10 3" xfId="22"/>
    <cellStyle name="Обычный 10 4" xfId="23"/>
    <cellStyle name="Обычный 10 5" xfId="57"/>
    <cellStyle name="Обычный 11" xfId="15"/>
    <cellStyle name="Обычный 11 2" xfId="58"/>
    <cellStyle name="Обычный 12" xfId="59"/>
    <cellStyle name="Обычный 13" xfId="24"/>
    <cellStyle name="Обычный 14" xfId="60"/>
    <cellStyle name="Обычный 15" xfId="61"/>
    <cellStyle name="Обычный 16" xfId="62"/>
    <cellStyle name="Обычный 17" xfId="63"/>
    <cellStyle name="Обычный 18" xfId="64"/>
    <cellStyle name="Обычный 19" xfId="14"/>
    <cellStyle name="Обычный 19 2" xfId="21"/>
    <cellStyle name="Обычный 19 3" xfId="65"/>
    <cellStyle name="Обычный 2" xfId="2"/>
    <cellStyle name="Обычный 2 2" xfId="6"/>
    <cellStyle name="Обычный 2 2 2" xfId="66"/>
    <cellStyle name="Обычный 2 3" xfId="5"/>
    <cellStyle name="Обычный 20" xfId="67"/>
    <cellStyle name="Обычный 24" xfId="68"/>
    <cellStyle name="Обычный 26" xfId="69"/>
    <cellStyle name="Обычный 26 2" xfId="70"/>
    <cellStyle name="Обычный 3" xfId="7"/>
    <cellStyle name="Обычный 3 4" xfId="12"/>
    <cellStyle name="Обычный 32" xfId="71"/>
    <cellStyle name="Обычный 33" xfId="72"/>
    <cellStyle name="Обычный 34" xfId="73"/>
    <cellStyle name="Обычный 35" xfId="74"/>
    <cellStyle name="Обычный 4" xfId="8"/>
    <cellStyle name="Обычный 4 2" xfId="75"/>
    <cellStyle name="Обычный 4 5" xfId="13"/>
    <cellStyle name="Обычный 5" xfId="9"/>
    <cellStyle name="Обычный 6" xfId="3"/>
    <cellStyle name="Обычный 6 2" xfId="18"/>
    <cellStyle name="Обычный 7" xfId="76"/>
    <cellStyle name="Обычный 7 6" xfId="77"/>
    <cellStyle name="Обычный 7 7" xfId="78"/>
    <cellStyle name="Обычный 8" xfId="79"/>
    <cellStyle name="Обычный 9" xfId="20"/>
    <cellStyle name="Обычный 9 8" xfId="80"/>
    <cellStyle name="Обычный 9 9" xfId="81"/>
    <cellStyle name="Процентный 2" xfId="17"/>
    <cellStyle name="Стиль 1" xfId="82"/>
    <cellStyle name="Стиль 1 2" xfId="83"/>
    <cellStyle name="Финансовый" xfId="1" builtinId="3"/>
    <cellStyle name="Финансовый 2" xfId="10"/>
    <cellStyle name="Финансовый 5" xfId="1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P2090"/>
  <sheetViews>
    <sheetView tabSelected="1" zoomScale="60" zoomScaleNormal="60" zoomScaleSheetLayoutView="70" zoomScalePageLayoutView="70" workbookViewId="0">
      <selection activeCell="G17" sqref="G17"/>
    </sheetView>
  </sheetViews>
  <sheetFormatPr defaultColWidth="31.85546875" defaultRowHeight="12.75" outlineLevelRow="1" outlineLevelCol="1"/>
  <cols>
    <col min="1" max="1" width="0.140625" style="17" customWidth="1"/>
    <col min="2" max="2" width="8.7109375" style="35" customWidth="1" outlineLevel="1"/>
    <col min="3" max="3" width="8.42578125" style="61" customWidth="1" outlineLevel="1"/>
    <col min="4" max="4" width="8.28515625" style="61" customWidth="1" outlineLevel="1"/>
    <col min="5" max="5" width="13.5703125" style="61" customWidth="1"/>
    <col min="6" max="6" width="23.85546875" style="61" customWidth="1" outlineLevel="1"/>
    <col min="7" max="7" width="21.85546875" style="61" customWidth="1" outlineLevel="1"/>
    <col min="8" max="8" width="25" style="61" customWidth="1" outlineLevel="1"/>
    <col min="9" max="10" width="24.7109375" style="61" customWidth="1" outlineLevel="1"/>
    <col min="11" max="11" width="21.7109375" style="61" customWidth="1"/>
    <col min="12" max="12" width="12.85546875" style="61" customWidth="1" outlineLevel="1"/>
    <col min="13" max="13" width="10.85546875" style="61" customWidth="1"/>
    <col min="14" max="14" width="9" style="61" customWidth="1" outlineLevel="1"/>
    <col min="15" max="15" width="14.85546875" style="61" customWidth="1" outlineLevel="1"/>
    <col min="16" max="16" width="16" style="61" customWidth="1" outlineLevel="1"/>
    <col min="17" max="17" width="11.28515625" style="61" customWidth="1" outlineLevel="1"/>
    <col min="18" max="18" width="15.5703125" style="27" customWidth="1" outlineLevel="1"/>
    <col min="19" max="19" width="11.85546875" style="61" customWidth="1"/>
    <col min="20" max="20" width="9.140625" style="28" customWidth="1"/>
    <col min="21" max="16384" width="31.85546875" style="61"/>
  </cols>
  <sheetData>
    <row r="1" spans="1:20">
      <c r="B1" s="17"/>
    </row>
    <row r="2" spans="1:20" s="1" customFormat="1">
      <c r="A2" s="3"/>
      <c r="B2" s="71" t="s">
        <v>2352</v>
      </c>
      <c r="G2" s="72"/>
      <c r="H2" s="72"/>
      <c r="I2" s="2"/>
      <c r="J2" s="2"/>
      <c r="K2" s="2"/>
      <c r="L2" s="3"/>
      <c r="M2" s="3"/>
      <c r="N2" s="73"/>
      <c r="O2" s="73"/>
      <c r="P2" s="73"/>
      <c r="Q2" s="3"/>
      <c r="R2" s="3"/>
      <c r="S2" s="3"/>
      <c r="T2" s="50"/>
    </row>
    <row r="3" spans="1:20" s="1" customFormat="1">
      <c r="A3" s="3"/>
      <c r="B3" s="3"/>
      <c r="G3" s="72"/>
      <c r="H3" s="72"/>
      <c r="I3" s="2"/>
      <c r="J3" s="2"/>
      <c r="K3" s="2"/>
      <c r="L3" s="3"/>
      <c r="M3" s="3"/>
      <c r="N3" s="73"/>
      <c r="O3" s="73"/>
      <c r="P3" s="73"/>
      <c r="Q3" s="3"/>
      <c r="R3" s="3"/>
      <c r="S3" s="3"/>
      <c r="T3" s="50"/>
    </row>
    <row r="4" spans="1:20" s="1" customFormat="1">
      <c r="A4" s="3"/>
      <c r="B4" s="50" t="s">
        <v>2353</v>
      </c>
      <c r="G4" s="72"/>
      <c r="H4" s="72"/>
      <c r="I4" s="2"/>
      <c r="J4" s="2"/>
      <c r="K4" s="2"/>
      <c r="L4" s="3"/>
      <c r="M4" s="3"/>
      <c r="N4" s="73"/>
      <c r="O4" s="73"/>
      <c r="P4" s="73"/>
      <c r="Q4" s="3"/>
      <c r="R4" s="3"/>
      <c r="S4" s="3"/>
      <c r="T4" s="50"/>
    </row>
    <row r="5" spans="1:20" s="1" customFormat="1" ht="13.5" thickBot="1">
      <c r="A5" s="3"/>
      <c r="B5" s="3"/>
      <c r="G5" s="72"/>
      <c r="H5" s="72"/>
      <c r="I5" s="2"/>
      <c r="J5" s="2"/>
      <c r="K5" s="2"/>
      <c r="L5" s="3"/>
      <c r="M5" s="3"/>
      <c r="N5" s="73"/>
      <c r="O5" s="73"/>
      <c r="P5" s="73"/>
      <c r="Q5" s="3"/>
      <c r="R5" s="3"/>
      <c r="S5" s="3"/>
      <c r="T5" s="50"/>
    </row>
    <row r="6" spans="1:20" s="1" customFormat="1" ht="39" thickBot="1">
      <c r="A6" s="3"/>
      <c r="B6" s="162" t="s">
        <v>2354</v>
      </c>
      <c r="C6" s="163"/>
      <c r="D6" s="164"/>
      <c r="E6" s="162" t="s">
        <v>2355</v>
      </c>
      <c r="F6" s="163"/>
      <c r="G6" s="74" t="s">
        <v>2356</v>
      </c>
      <c r="H6" s="74" t="s">
        <v>2357</v>
      </c>
      <c r="I6" s="74" t="s">
        <v>2358</v>
      </c>
      <c r="J6" s="3"/>
      <c r="K6" s="73"/>
      <c r="L6" s="3"/>
      <c r="M6" s="75"/>
      <c r="N6" s="3"/>
      <c r="O6" s="3"/>
      <c r="P6" s="3"/>
      <c r="Q6" s="50"/>
    </row>
    <row r="7" spans="1:20" s="1" customFormat="1" ht="13.5" thickBot="1">
      <c r="A7" s="3"/>
      <c r="B7" s="165">
        <v>1</v>
      </c>
      <c r="C7" s="166"/>
      <c r="D7" s="167"/>
      <c r="E7" s="165">
        <v>2</v>
      </c>
      <c r="F7" s="166"/>
      <c r="G7" s="76">
        <v>3</v>
      </c>
      <c r="H7" s="76">
        <v>4</v>
      </c>
      <c r="I7" s="76">
        <v>5</v>
      </c>
      <c r="J7" s="3"/>
      <c r="K7" s="73"/>
      <c r="L7" s="3"/>
      <c r="M7" s="75"/>
      <c r="N7" s="3"/>
      <c r="O7" s="3"/>
      <c r="P7" s="3"/>
      <c r="Q7" s="50"/>
    </row>
    <row r="8" spans="1:20" s="1" customFormat="1" ht="42" customHeight="1" thickBot="1">
      <c r="A8" s="3"/>
      <c r="B8" s="168">
        <v>970840000277</v>
      </c>
      <c r="C8" s="169"/>
      <c r="D8" s="170"/>
      <c r="E8" s="168">
        <v>600500050605</v>
      </c>
      <c r="F8" s="169"/>
      <c r="G8" s="77" t="s">
        <v>2359</v>
      </c>
      <c r="H8" s="78" t="s">
        <v>2360</v>
      </c>
      <c r="I8" s="78">
        <v>2014</v>
      </c>
      <c r="J8" s="3"/>
      <c r="K8" s="73"/>
      <c r="L8" s="3"/>
      <c r="M8" s="75"/>
      <c r="N8" s="3"/>
      <c r="O8" s="3"/>
      <c r="P8" s="3"/>
      <c r="Q8" s="50"/>
    </row>
    <row r="9" spans="1:20" s="1" customFormat="1">
      <c r="A9" s="3"/>
      <c r="B9" s="3"/>
      <c r="G9" s="72"/>
      <c r="H9" s="72"/>
      <c r="I9" s="2"/>
      <c r="J9" s="2"/>
      <c r="K9" s="2"/>
      <c r="L9" s="3"/>
      <c r="M9" s="3"/>
      <c r="N9" s="73"/>
      <c r="O9" s="73"/>
      <c r="P9" s="73"/>
      <c r="Q9" s="3"/>
      <c r="R9" s="3"/>
      <c r="S9" s="3"/>
      <c r="T9" s="50"/>
    </row>
    <row r="10" spans="1:20" s="1" customFormat="1">
      <c r="A10" s="3"/>
      <c r="B10" s="3"/>
      <c r="E10" s="50"/>
      <c r="F10" s="50"/>
      <c r="G10" s="79"/>
      <c r="H10" s="79"/>
      <c r="I10" s="54"/>
      <c r="J10" s="54"/>
      <c r="K10" s="54"/>
      <c r="L10" s="50"/>
      <c r="M10" s="54"/>
      <c r="N10" s="80"/>
      <c r="O10" s="80"/>
      <c r="P10" s="80"/>
      <c r="R10" s="50"/>
      <c r="S10" s="50"/>
      <c r="T10" s="50"/>
    </row>
    <row r="11" spans="1:20" s="1" customFormat="1" ht="15.75">
      <c r="A11" s="3"/>
      <c r="B11" s="71" t="s">
        <v>2361</v>
      </c>
      <c r="C11" s="71"/>
      <c r="D11" s="71"/>
      <c r="E11" s="71"/>
      <c r="F11" s="71"/>
      <c r="G11" s="79"/>
      <c r="H11" s="79"/>
      <c r="I11" s="79"/>
      <c r="J11" s="79"/>
      <c r="K11" s="79"/>
      <c r="L11" s="71"/>
      <c r="M11" s="81"/>
      <c r="N11" s="82"/>
      <c r="O11" s="82"/>
      <c r="P11" s="83" t="s">
        <v>3119</v>
      </c>
      <c r="R11" s="71"/>
      <c r="S11" s="71"/>
      <c r="T11" s="50"/>
    </row>
    <row r="12" spans="1:20">
      <c r="B12" s="17"/>
    </row>
    <row r="13" spans="1:20" ht="13.5" thickBot="1">
      <c r="B13" s="17"/>
      <c r="E13" s="17"/>
      <c r="F13" s="17"/>
      <c r="G13" s="17"/>
      <c r="H13" s="17"/>
      <c r="I13" s="17"/>
      <c r="J13" s="17"/>
      <c r="K13" s="17"/>
      <c r="L13" s="17"/>
      <c r="M13" s="17"/>
      <c r="N13" s="17"/>
      <c r="O13" s="17"/>
      <c r="P13" s="29"/>
      <c r="Q13" s="29"/>
      <c r="S13" s="17"/>
    </row>
    <row r="14" spans="1:20" ht="50.25" customHeight="1">
      <c r="B14" s="18" t="s">
        <v>350</v>
      </c>
      <c r="C14" s="18" t="s">
        <v>351</v>
      </c>
      <c r="D14" s="18" t="s">
        <v>352</v>
      </c>
      <c r="E14" s="18" t="s">
        <v>353</v>
      </c>
      <c r="F14" s="18" t="s">
        <v>354</v>
      </c>
      <c r="G14" s="18" t="s">
        <v>355</v>
      </c>
      <c r="H14" s="18" t="s">
        <v>356</v>
      </c>
      <c r="I14" s="18" t="s">
        <v>357</v>
      </c>
      <c r="J14" s="18" t="s">
        <v>358</v>
      </c>
      <c r="K14" s="18" t="s">
        <v>359</v>
      </c>
      <c r="L14" s="18" t="s">
        <v>0</v>
      </c>
      <c r="M14" s="18" t="s">
        <v>360</v>
      </c>
      <c r="N14" s="19" t="s">
        <v>361</v>
      </c>
      <c r="O14" s="18" t="s">
        <v>362</v>
      </c>
      <c r="P14" s="19" t="s">
        <v>363</v>
      </c>
      <c r="Q14" s="18" t="s">
        <v>364</v>
      </c>
      <c r="R14" s="18" t="s">
        <v>365</v>
      </c>
      <c r="S14" s="18" t="s">
        <v>366</v>
      </c>
      <c r="T14" s="18" t="s">
        <v>367</v>
      </c>
    </row>
    <row r="15" spans="1:20" ht="13.5" thickBot="1">
      <c r="B15" s="20"/>
      <c r="C15" s="20"/>
      <c r="D15" s="20"/>
      <c r="E15" s="20"/>
      <c r="F15" s="20"/>
      <c r="G15" s="20"/>
      <c r="H15" s="20"/>
      <c r="I15" s="20"/>
      <c r="J15" s="20"/>
      <c r="K15" s="20"/>
      <c r="L15" s="20"/>
      <c r="M15" s="20"/>
      <c r="N15" s="21"/>
      <c r="O15" s="20"/>
      <c r="P15" s="21"/>
      <c r="Q15" s="20"/>
      <c r="R15" s="20"/>
      <c r="S15" s="20"/>
      <c r="T15" s="20"/>
    </row>
    <row r="16" spans="1:20" s="31" customFormat="1" ht="13.5" thickBot="1">
      <c r="A16" s="30"/>
      <c r="B16" s="22">
        <v>1</v>
      </c>
      <c r="C16" s="23">
        <v>2</v>
      </c>
      <c r="D16" s="23">
        <v>3</v>
      </c>
      <c r="E16" s="23">
        <v>4</v>
      </c>
      <c r="F16" s="23">
        <v>5</v>
      </c>
      <c r="G16" s="23">
        <v>6</v>
      </c>
      <c r="H16" s="23">
        <v>7</v>
      </c>
      <c r="I16" s="23">
        <v>8</v>
      </c>
      <c r="J16" s="23">
        <v>9</v>
      </c>
      <c r="K16" s="23">
        <v>10</v>
      </c>
      <c r="L16" s="23">
        <v>11</v>
      </c>
      <c r="M16" s="23">
        <v>12</v>
      </c>
      <c r="N16" s="23">
        <v>13</v>
      </c>
      <c r="O16" s="23">
        <v>14</v>
      </c>
      <c r="P16" s="23">
        <v>15</v>
      </c>
      <c r="Q16" s="23">
        <v>16</v>
      </c>
      <c r="R16" s="23">
        <v>17</v>
      </c>
      <c r="S16" s="23">
        <v>18</v>
      </c>
      <c r="T16" s="24">
        <v>19</v>
      </c>
    </row>
    <row r="17" spans="2:20" ht="118.5" customHeight="1">
      <c r="B17" s="6">
        <v>1</v>
      </c>
      <c r="C17" s="36" t="s">
        <v>714</v>
      </c>
      <c r="D17" s="37" t="s">
        <v>715</v>
      </c>
      <c r="E17" s="12" t="s">
        <v>1180</v>
      </c>
      <c r="F17" s="70" t="s">
        <v>1539</v>
      </c>
      <c r="G17" s="70" t="s">
        <v>1181</v>
      </c>
      <c r="H17" s="70" t="s">
        <v>1540</v>
      </c>
      <c r="I17" s="70" t="s">
        <v>1182</v>
      </c>
      <c r="J17" s="70" t="s">
        <v>1539</v>
      </c>
      <c r="K17" s="70" t="s">
        <v>1183</v>
      </c>
      <c r="L17" s="70" t="s">
        <v>595</v>
      </c>
      <c r="M17" s="38" t="s">
        <v>648</v>
      </c>
      <c r="N17" s="88">
        <v>12</v>
      </c>
      <c r="O17" s="89">
        <v>35714</v>
      </c>
      <c r="P17" s="62">
        <f t="shared" ref="P17:P80" si="0">N17*O17</f>
        <v>428568</v>
      </c>
      <c r="Q17" s="90" t="s">
        <v>506</v>
      </c>
      <c r="R17" s="6" t="s">
        <v>1055</v>
      </c>
      <c r="S17" s="38" t="s">
        <v>1179</v>
      </c>
      <c r="T17" s="15">
        <v>50</v>
      </c>
    </row>
    <row r="18" spans="2:20" ht="156.75" customHeight="1">
      <c r="B18" s="6">
        <v>2</v>
      </c>
      <c r="C18" s="36" t="s">
        <v>714</v>
      </c>
      <c r="D18" s="37" t="s">
        <v>715</v>
      </c>
      <c r="E18" s="12" t="s">
        <v>1184</v>
      </c>
      <c r="F18" s="70" t="s">
        <v>1185</v>
      </c>
      <c r="G18" s="70" t="s">
        <v>1185</v>
      </c>
      <c r="H18" s="70" t="s">
        <v>1541</v>
      </c>
      <c r="I18" s="70" t="s">
        <v>1186</v>
      </c>
      <c r="J18" s="70" t="s">
        <v>2363</v>
      </c>
      <c r="K18" s="70" t="s">
        <v>131</v>
      </c>
      <c r="L18" s="70" t="s">
        <v>595</v>
      </c>
      <c r="M18" s="38" t="s">
        <v>648</v>
      </c>
      <c r="N18" s="10">
        <v>19</v>
      </c>
      <c r="O18" s="57">
        <v>152857</v>
      </c>
      <c r="P18" s="62">
        <f t="shared" si="0"/>
        <v>2904283</v>
      </c>
      <c r="Q18" s="15" t="s">
        <v>506</v>
      </c>
      <c r="R18" s="6" t="s">
        <v>1055</v>
      </c>
      <c r="S18" s="38" t="s">
        <v>1179</v>
      </c>
      <c r="T18" s="15">
        <v>50</v>
      </c>
    </row>
    <row r="19" spans="2:20" ht="63.75">
      <c r="B19" s="6">
        <v>3</v>
      </c>
      <c r="C19" s="36" t="s">
        <v>714</v>
      </c>
      <c r="D19" s="37" t="s">
        <v>715</v>
      </c>
      <c r="E19" s="12" t="s">
        <v>1187</v>
      </c>
      <c r="F19" s="70" t="s">
        <v>1188</v>
      </c>
      <c r="G19" s="70" t="s">
        <v>1188</v>
      </c>
      <c r="H19" s="70" t="s">
        <v>1542</v>
      </c>
      <c r="I19" s="70" t="s">
        <v>1543</v>
      </c>
      <c r="J19" s="70" t="s">
        <v>1544</v>
      </c>
      <c r="K19" s="70" t="s">
        <v>132</v>
      </c>
      <c r="L19" s="70" t="s">
        <v>595</v>
      </c>
      <c r="M19" s="38" t="s">
        <v>648</v>
      </c>
      <c r="N19" s="10">
        <v>7</v>
      </c>
      <c r="O19" s="57">
        <v>160714</v>
      </c>
      <c r="P19" s="62">
        <f t="shared" si="0"/>
        <v>1124998</v>
      </c>
      <c r="Q19" s="15" t="s">
        <v>506</v>
      </c>
      <c r="R19" s="6" t="s">
        <v>1055</v>
      </c>
      <c r="S19" s="38" t="s">
        <v>1179</v>
      </c>
      <c r="T19" s="15">
        <v>50</v>
      </c>
    </row>
    <row r="20" spans="2:20" ht="93" customHeight="1">
      <c r="B20" s="6">
        <v>4</v>
      </c>
      <c r="C20" s="36" t="s">
        <v>714</v>
      </c>
      <c r="D20" s="37" t="s">
        <v>715</v>
      </c>
      <c r="E20" s="12" t="s">
        <v>1189</v>
      </c>
      <c r="F20" s="70" t="s">
        <v>1190</v>
      </c>
      <c r="G20" s="70" t="s">
        <v>1190</v>
      </c>
      <c r="H20" s="70" t="s">
        <v>1545</v>
      </c>
      <c r="I20" s="70" t="s">
        <v>1191</v>
      </c>
      <c r="J20" s="70" t="s">
        <v>2364</v>
      </c>
      <c r="K20" s="70" t="s">
        <v>1192</v>
      </c>
      <c r="L20" s="70" t="s">
        <v>595</v>
      </c>
      <c r="M20" s="38" t="s">
        <v>648</v>
      </c>
      <c r="N20" s="10">
        <v>7</v>
      </c>
      <c r="O20" s="57">
        <f>P20/N20</f>
        <v>0</v>
      </c>
      <c r="P20" s="62">
        <f>1874999-1874999</f>
        <v>0</v>
      </c>
      <c r="Q20" s="15" t="s">
        <v>395</v>
      </c>
      <c r="R20" s="6" t="s">
        <v>1055</v>
      </c>
      <c r="S20" s="38" t="s">
        <v>1179</v>
      </c>
      <c r="T20" s="15">
        <v>50</v>
      </c>
    </row>
    <row r="21" spans="2:20" ht="318.75">
      <c r="B21" s="6">
        <v>5</v>
      </c>
      <c r="C21" s="36" t="s">
        <v>714</v>
      </c>
      <c r="D21" s="37" t="s">
        <v>715</v>
      </c>
      <c r="E21" s="12" t="s">
        <v>1193</v>
      </c>
      <c r="F21" s="70" t="s">
        <v>1194</v>
      </c>
      <c r="G21" s="70" t="s">
        <v>1194</v>
      </c>
      <c r="H21" s="70" t="s">
        <v>1546</v>
      </c>
      <c r="I21" s="70" t="s">
        <v>1195</v>
      </c>
      <c r="J21" s="70" t="s">
        <v>2566</v>
      </c>
      <c r="K21" s="70" t="s">
        <v>2565</v>
      </c>
      <c r="L21" s="70" t="s">
        <v>1490</v>
      </c>
      <c r="M21" s="38" t="s">
        <v>648</v>
      </c>
      <c r="N21" s="10">
        <v>1</v>
      </c>
      <c r="O21" s="57">
        <f>P21/N21</f>
        <v>99452676</v>
      </c>
      <c r="P21" s="62">
        <f>57356250+42096426</f>
        <v>99452676</v>
      </c>
      <c r="Q21" s="15" t="s">
        <v>519</v>
      </c>
      <c r="R21" s="15" t="s">
        <v>2567</v>
      </c>
      <c r="S21" s="38" t="s">
        <v>1179</v>
      </c>
      <c r="T21" s="15">
        <v>30</v>
      </c>
    </row>
    <row r="22" spans="2:20" ht="150" customHeight="1">
      <c r="B22" s="6">
        <v>6</v>
      </c>
      <c r="C22" s="36" t="s">
        <v>714</v>
      </c>
      <c r="D22" s="37" t="s">
        <v>715</v>
      </c>
      <c r="E22" s="12" t="s">
        <v>1193</v>
      </c>
      <c r="F22" s="70" t="s">
        <v>1194</v>
      </c>
      <c r="G22" s="70" t="s">
        <v>1194</v>
      </c>
      <c r="H22" s="70" t="s">
        <v>1547</v>
      </c>
      <c r="I22" s="70" t="s">
        <v>1195</v>
      </c>
      <c r="J22" s="70" t="s">
        <v>133</v>
      </c>
      <c r="K22" s="70" t="s">
        <v>133</v>
      </c>
      <c r="L22" s="70" t="s">
        <v>1490</v>
      </c>
      <c r="M22" s="38" t="s">
        <v>648</v>
      </c>
      <c r="N22" s="10">
        <v>12</v>
      </c>
      <c r="O22" s="57">
        <f>P22/N22</f>
        <v>0</v>
      </c>
      <c r="P22" s="62">
        <f>25160712-25160712</f>
        <v>0</v>
      </c>
      <c r="Q22" s="15" t="s">
        <v>395</v>
      </c>
      <c r="R22" s="15" t="s">
        <v>1478</v>
      </c>
      <c r="S22" s="38" t="s">
        <v>1179</v>
      </c>
      <c r="T22" s="15">
        <v>0</v>
      </c>
    </row>
    <row r="23" spans="2:20" ht="63.75">
      <c r="B23" s="6">
        <v>7</v>
      </c>
      <c r="C23" s="36" t="s">
        <v>714</v>
      </c>
      <c r="D23" s="37" t="s">
        <v>715</v>
      </c>
      <c r="E23" s="12" t="s">
        <v>1196</v>
      </c>
      <c r="F23" s="70" t="s">
        <v>2980</v>
      </c>
      <c r="G23" s="70" t="s">
        <v>1197</v>
      </c>
      <c r="H23" s="70" t="s">
        <v>1549</v>
      </c>
      <c r="I23" s="70" t="s">
        <v>1198</v>
      </c>
      <c r="J23" s="70" t="s">
        <v>1548</v>
      </c>
      <c r="K23" s="70" t="s">
        <v>134</v>
      </c>
      <c r="L23" s="70" t="s">
        <v>1490</v>
      </c>
      <c r="M23" s="38" t="s">
        <v>642</v>
      </c>
      <c r="N23" s="10">
        <v>1</v>
      </c>
      <c r="O23" s="57">
        <f>P23/N23</f>
        <v>0</v>
      </c>
      <c r="P23" s="62">
        <f>16935714-16935714</f>
        <v>0</v>
      </c>
      <c r="Q23" s="15" t="s">
        <v>519</v>
      </c>
      <c r="R23" s="15" t="s">
        <v>1478</v>
      </c>
      <c r="S23" s="38" t="s">
        <v>1179</v>
      </c>
      <c r="T23" s="15">
        <v>0</v>
      </c>
    </row>
    <row r="24" spans="2:20" ht="63.75">
      <c r="B24" s="6">
        <v>8</v>
      </c>
      <c r="C24" s="36" t="s">
        <v>714</v>
      </c>
      <c r="D24" s="37" t="s">
        <v>715</v>
      </c>
      <c r="E24" s="12" t="s">
        <v>1199</v>
      </c>
      <c r="F24" s="70" t="s">
        <v>1550</v>
      </c>
      <c r="G24" s="70" t="s">
        <v>1200</v>
      </c>
      <c r="H24" s="70" t="s">
        <v>1551</v>
      </c>
      <c r="I24" s="70" t="s">
        <v>1201</v>
      </c>
      <c r="J24" s="70" t="s">
        <v>1552</v>
      </c>
      <c r="K24" s="70" t="s">
        <v>135</v>
      </c>
      <c r="L24" s="70" t="s">
        <v>595</v>
      </c>
      <c r="M24" s="6" t="s">
        <v>648</v>
      </c>
      <c r="N24" s="10">
        <v>1</v>
      </c>
      <c r="O24" s="57">
        <v>3136502</v>
      </c>
      <c r="P24" s="62">
        <f t="shared" si="0"/>
        <v>3136502</v>
      </c>
      <c r="Q24" s="15" t="s">
        <v>505</v>
      </c>
      <c r="R24" s="15" t="s">
        <v>1478</v>
      </c>
      <c r="S24" s="38" t="s">
        <v>1179</v>
      </c>
      <c r="T24" s="15">
        <v>30</v>
      </c>
    </row>
    <row r="25" spans="2:20" ht="63.75">
      <c r="B25" s="6">
        <v>9</v>
      </c>
      <c r="C25" s="36" t="s">
        <v>714</v>
      </c>
      <c r="D25" s="37" t="s">
        <v>715</v>
      </c>
      <c r="E25" s="12" t="s">
        <v>1202</v>
      </c>
      <c r="F25" s="70" t="s">
        <v>1203</v>
      </c>
      <c r="G25" s="70" t="s">
        <v>1203</v>
      </c>
      <c r="H25" s="70" t="s">
        <v>1553</v>
      </c>
      <c r="I25" s="70" t="s">
        <v>1204</v>
      </c>
      <c r="J25" s="70" t="s">
        <v>1554</v>
      </c>
      <c r="K25" s="70" t="s">
        <v>136</v>
      </c>
      <c r="L25" s="70" t="s">
        <v>595</v>
      </c>
      <c r="M25" s="38" t="s">
        <v>648</v>
      </c>
      <c r="N25" s="10">
        <v>4</v>
      </c>
      <c r="O25" s="57">
        <v>267857</v>
      </c>
      <c r="P25" s="62">
        <f t="shared" si="0"/>
        <v>1071428</v>
      </c>
      <c r="Q25" s="15" t="s">
        <v>395</v>
      </c>
      <c r="R25" s="15" t="s">
        <v>1478</v>
      </c>
      <c r="S25" s="38" t="s">
        <v>1179</v>
      </c>
      <c r="T25" s="15">
        <v>30</v>
      </c>
    </row>
    <row r="26" spans="2:20" ht="63.75">
      <c r="B26" s="6">
        <v>10</v>
      </c>
      <c r="C26" s="36" t="s">
        <v>714</v>
      </c>
      <c r="D26" s="37" t="s">
        <v>715</v>
      </c>
      <c r="E26" s="12" t="s">
        <v>1205</v>
      </c>
      <c r="F26" s="70" t="s">
        <v>1555</v>
      </c>
      <c r="G26" s="70" t="s">
        <v>1206</v>
      </c>
      <c r="H26" s="70" t="s">
        <v>1575</v>
      </c>
      <c r="I26" s="70" t="s">
        <v>1207</v>
      </c>
      <c r="J26" s="70" t="s">
        <v>1557</v>
      </c>
      <c r="K26" s="70" t="s">
        <v>1208</v>
      </c>
      <c r="L26" s="70" t="s">
        <v>595</v>
      </c>
      <c r="M26" s="38" t="s">
        <v>648</v>
      </c>
      <c r="N26" s="10">
        <v>1</v>
      </c>
      <c r="O26" s="57">
        <f>P26/N26</f>
        <v>0</v>
      </c>
      <c r="P26" s="62">
        <f>1311328-1311328</f>
        <v>0</v>
      </c>
      <c r="Q26" s="15" t="s">
        <v>703</v>
      </c>
      <c r="R26" s="15" t="s">
        <v>1478</v>
      </c>
      <c r="S26" s="38" t="s">
        <v>1179</v>
      </c>
      <c r="T26" s="15">
        <v>0</v>
      </c>
    </row>
    <row r="27" spans="2:20" ht="63.75">
      <c r="B27" s="6">
        <v>11</v>
      </c>
      <c r="C27" s="36" t="s">
        <v>714</v>
      </c>
      <c r="D27" s="37" t="s">
        <v>715</v>
      </c>
      <c r="E27" s="12" t="s">
        <v>1209</v>
      </c>
      <c r="F27" s="70" t="s">
        <v>1555</v>
      </c>
      <c r="G27" s="70" t="s">
        <v>1206</v>
      </c>
      <c r="H27" s="70" t="s">
        <v>1574</v>
      </c>
      <c r="I27" s="70" t="s">
        <v>1210</v>
      </c>
      <c r="J27" s="70" t="s">
        <v>1556</v>
      </c>
      <c r="K27" s="70" t="s">
        <v>1211</v>
      </c>
      <c r="L27" s="70" t="s">
        <v>1490</v>
      </c>
      <c r="M27" s="38" t="s">
        <v>648</v>
      </c>
      <c r="N27" s="10">
        <v>14</v>
      </c>
      <c r="O27" s="57">
        <v>1256357</v>
      </c>
      <c r="P27" s="62">
        <f t="shared" si="0"/>
        <v>17588998</v>
      </c>
      <c r="Q27" s="15" t="s">
        <v>506</v>
      </c>
      <c r="R27" s="15" t="s">
        <v>1478</v>
      </c>
      <c r="S27" s="38" t="s">
        <v>1179</v>
      </c>
      <c r="T27" s="15">
        <v>0</v>
      </c>
    </row>
    <row r="28" spans="2:20" ht="127.5">
      <c r="B28" s="6">
        <v>12</v>
      </c>
      <c r="C28" s="36" t="s">
        <v>714</v>
      </c>
      <c r="D28" s="37" t="s">
        <v>715</v>
      </c>
      <c r="E28" s="12" t="s">
        <v>1212</v>
      </c>
      <c r="F28" s="70" t="s">
        <v>1558</v>
      </c>
      <c r="G28" s="70" t="s">
        <v>1213</v>
      </c>
      <c r="H28" s="70" t="s">
        <v>1559</v>
      </c>
      <c r="I28" s="70" t="s">
        <v>1214</v>
      </c>
      <c r="J28" s="70" t="s">
        <v>1560</v>
      </c>
      <c r="K28" s="70" t="s">
        <v>137</v>
      </c>
      <c r="L28" s="70" t="s">
        <v>595</v>
      </c>
      <c r="M28" s="38" t="s">
        <v>648</v>
      </c>
      <c r="N28" s="10">
        <v>109</v>
      </c>
      <c r="O28" s="57">
        <v>25446</v>
      </c>
      <c r="P28" s="62">
        <f t="shared" si="0"/>
        <v>2773614</v>
      </c>
      <c r="Q28" s="15" t="s">
        <v>506</v>
      </c>
      <c r="R28" s="15" t="s">
        <v>1478</v>
      </c>
      <c r="S28" s="38" t="s">
        <v>1179</v>
      </c>
      <c r="T28" s="15">
        <v>0</v>
      </c>
    </row>
    <row r="29" spans="2:20" ht="76.5">
      <c r="B29" s="6">
        <v>13</v>
      </c>
      <c r="C29" s="36" t="s">
        <v>714</v>
      </c>
      <c r="D29" s="37" t="s">
        <v>715</v>
      </c>
      <c r="E29" s="12" t="s">
        <v>1215</v>
      </c>
      <c r="F29" s="70" t="s">
        <v>1555</v>
      </c>
      <c r="G29" s="70" t="s">
        <v>1206</v>
      </c>
      <c r="H29" s="70" t="s">
        <v>1561</v>
      </c>
      <c r="I29" s="70" t="s">
        <v>1216</v>
      </c>
      <c r="J29" s="70" t="s">
        <v>1562</v>
      </c>
      <c r="K29" s="70" t="s">
        <v>138</v>
      </c>
      <c r="L29" s="70" t="s">
        <v>1490</v>
      </c>
      <c r="M29" s="38" t="s">
        <v>648</v>
      </c>
      <c r="N29" s="10">
        <v>1</v>
      </c>
      <c r="O29" s="57">
        <f>P29/N29</f>
        <v>0</v>
      </c>
      <c r="P29" s="62">
        <f>13805304-13805304</f>
        <v>0</v>
      </c>
      <c r="Q29" s="15" t="s">
        <v>506</v>
      </c>
      <c r="R29" s="15" t="s">
        <v>1478</v>
      </c>
      <c r="S29" s="38" t="s">
        <v>1179</v>
      </c>
      <c r="T29" s="15">
        <v>0</v>
      </c>
    </row>
    <row r="30" spans="2:20" ht="63.75">
      <c r="B30" s="6">
        <v>14</v>
      </c>
      <c r="C30" s="36" t="s">
        <v>714</v>
      </c>
      <c r="D30" s="37" t="s">
        <v>715</v>
      </c>
      <c r="E30" s="12" t="s">
        <v>1217</v>
      </c>
      <c r="F30" s="70" t="s">
        <v>1218</v>
      </c>
      <c r="G30" s="70" t="s">
        <v>1218</v>
      </c>
      <c r="H30" s="70" t="s">
        <v>1572</v>
      </c>
      <c r="I30" s="70" t="s">
        <v>1573</v>
      </c>
      <c r="J30" s="70" t="s">
        <v>1563</v>
      </c>
      <c r="K30" s="70" t="s">
        <v>139</v>
      </c>
      <c r="L30" s="70" t="s">
        <v>1489</v>
      </c>
      <c r="M30" s="38" t="s">
        <v>648</v>
      </c>
      <c r="N30" s="10">
        <v>16</v>
      </c>
      <c r="O30" s="57">
        <v>345290</v>
      </c>
      <c r="P30" s="62">
        <f t="shared" si="0"/>
        <v>5524640</v>
      </c>
      <c r="Q30" s="15" t="s">
        <v>519</v>
      </c>
      <c r="R30" s="15" t="s">
        <v>1478</v>
      </c>
      <c r="S30" s="38" t="s">
        <v>1179</v>
      </c>
      <c r="T30" s="15">
        <v>0</v>
      </c>
    </row>
    <row r="31" spans="2:20" ht="63.75">
      <c r="B31" s="6">
        <v>15</v>
      </c>
      <c r="C31" s="36" t="s">
        <v>714</v>
      </c>
      <c r="D31" s="37" t="s">
        <v>715</v>
      </c>
      <c r="E31" s="12" t="s">
        <v>1219</v>
      </c>
      <c r="F31" s="70" t="s">
        <v>1564</v>
      </c>
      <c r="G31" s="70" t="s">
        <v>1220</v>
      </c>
      <c r="H31" s="70" t="s">
        <v>1565</v>
      </c>
      <c r="I31" s="70" t="s">
        <v>1221</v>
      </c>
      <c r="J31" s="70" t="s">
        <v>1566</v>
      </c>
      <c r="K31" s="70" t="s">
        <v>140</v>
      </c>
      <c r="L31" s="70" t="s">
        <v>595</v>
      </c>
      <c r="M31" s="38" t="s">
        <v>648</v>
      </c>
      <c r="N31" s="10">
        <v>3</v>
      </c>
      <c r="O31" s="57">
        <v>359129</v>
      </c>
      <c r="P31" s="62">
        <f t="shared" si="0"/>
        <v>1077387</v>
      </c>
      <c r="Q31" s="15" t="s">
        <v>505</v>
      </c>
      <c r="R31" s="15" t="s">
        <v>1478</v>
      </c>
      <c r="S31" s="38" t="s">
        <v>1179</v>
      </c>
      <c r="T31" s="15">
        <v>0</v>
      </c>
    </row>
    <row r="32" spans="2:20" ht="102">
      <c r="B32" s="6">
        <v>16</v>
      </c>
      <c r="C32" s="36" t="s">
        <v>714</v>
      </c>
      <c r="D32" s="37" t="s">
        <v>715</v>
      </c>
      <c r="E32" s="12" t="s">
        <v>1222</v>
      </c>
      <c r="F32" s="70" t="s">
        <v>1567</v>
      </c>
      <c r="G32" s="70" t="s">
        <v>1223</v>
      </c>
      <c r="H32" s="70" t="s">
        <v>1568</v>
      </c>
      <c r="I32" s="70" t="s">
        <v>1224</v>
      </c>
      <c r="J32" s="70" t="s">
        <v>1569</v>
      </c>
      <c r="K32" s="70" t="s">
        <v>141</v>
      </c>
      <c r="L32" s="70" t="s">
        <v>1490</v>
      </c>
      <c r="M32" s="38" t="s">
        <v>648</v>
      </c>
      <c r="N32" s="10">
        <v>17</v>
      </c>
      <c r="O32" s="57">
        <f>P32/N32</f>
        <v>0</v>
      </c>
      <c r="P32" s="62">
        <f>113889579-113889579</f>
        <v>0</v>
      </c>
      <c r="Q32" s="15" t="s">
        <v>505</v>
      </c>
      <c r="R32" s="15" t="s">
        <v>1477</v>
      </c>
      <c r="S32" s="38" t="s">
        <v>1179</v>
      </c>
      <c r="T32" s="15">
        <v>0</v>
      </c>
    </row>
    <row r="33" spans="2:20" ht="37.5" customHeight="1">
      <c r="B33" s="6">
        <v>17</v>
      </c>
      <c r="C33" s="36" t="s">
        <v>714</v>
      </c>
      <c r="D33" s="37" t="s">
        <v>715</v>
      </c>
      <c r="E33" s="6" t="s">
        <v>1421</v>
      </c>
      <c r="F33" s="70" t="s">
        <v>1422</v>
      </c>
      <c r="G33" s="70" t="s">
        <v>1423</v>
      </c>
      <c r="H33" s="70" t="s">
        <v>1424</v>
      </c>
      <c r="I33" s="70" t="s">
        <v>1425</v>
      </c>
      <c r="J33" s="70" t="s">
        <v>1422</v>
      </c>
      <c r="K33" s="70" t="s">
        <v>144</v>
      </c>
      <c r="L33" s="70" t="s">
        <v>1490</v>
      </c>
      <c r="M33" s="12" t="s">
        <v>633</v>
      </c>
      <c r="N33" s="26">
        <v>3000</v>
      </c>
      <c r="O33" s="57">
        <v>178571</v>
      </c>
      <c r="P33" s="62">
        <f t="shared" si="0"/>
        <v>535713000</v>
      </c>
      <c r="Q33" s="6" t="s">
        <v>702</v>
      </c>
      <c r="R33" s="6" t="s">
        <v>398</v>
      </c>
      <c r="S33" s="38" t="s">
        <v>1179</v>
      </c>
      <c r="T33" s="26">
        <v>0</v>
      </c>
    </row>
    <row r="34" spans="2:20" ht="165.75">
      <c r="B34" s="6">
        <v>18</v>
      </c>
      <c r="C34" s="36" t="s">
        <v>714</v>
      </c>
      <c r="D34" s="37" t="s">
        <v>715</v>
      </c>
      <c r="E34" s="129" t="s">
        <v>1052</v>
      </c>
      <c r="F34" s="70" t="s">
        <v>3003</v>
      </c>
      <c r="G34" s="70" t="s">
        <v>1053</v>
      </c>
      <c r="H34" s="70" t="s">
        <v>1570</v>
      </c>
      <c r="I34" s="70" t="s">
        <v>1054</v>
      </c>
      <c r="J34" s="70" t="s">
        <v>1571</v>
      </c>
      <c r="K34" s="70" t="s">
        <v>142</v>
      </c>
      <c r="L34" s="70" t="s">
        <v>1490</v>
      </c>
      <c r="M34" s="38" t="s">
        <v>648</v>
      </c>
      <c r="N34" s="26">
        <v>2</v>
      </c>
      <c r="O34" s="57">
        <v>6985000</v>
      </c>
      <c r="P34" s="62">
        <f t="shared" si="0"/>
        <v>13970000</v>
      </c>
      <c r="Q34" s="6" t="s">
        <v>506</v>
      </c>
      <c r="R34" s="6" t="s">
        <v>1055</v>
      </c>
      <c r="S34" s="38" t="s">
        <v>1179</v>
      </c>
      <c r="T34" s="26">
        <v>0</v>
      </c>
    </row>
    <row r="35" spans="2:20" ht="63.75">
      <c r="B35" s="6">
        <v>19</v>
      </c>
      <c r="C35" s="36" t="s">
        <v>714</v>
      </c>
      <c r="D35" s="37" t="s">
        <v>715</v>
      </c>
      <c r="E35" s="58" t="s">
        <v>1056</v>
      </c>
      <c r="F35" s="70" t="s">
        <v>2088</v>
      </c>
      <c r="G35" s="70" t="s">
        <v>1057</v>
      </c>
      <c r="H35" s="70" t="s">
        <v>2089</v>
      </c>
      <c r="I35" s="70" t="s">
        <v>1058</v>
      </c>
      <c r="J35" s="70" t="s">
        <v>3</v>
      </c>
      <c r="K35" s="70" t="s">
        <v>3</v>
      </c>
      <c r="L35" s="70" t="s">
        <v>595</v>
      </c>
      <c r="M35" s="38" t="s">
        <v>648</v>
      </c>
      <c r="N35" s="26">
        <v>1</v>
      </c>
      <c r="O35" s="57">
        <v>285714</v>
      </c>
      <c r="P35" s="62">
        <f t="shared" si="0"/>
        <v>285714</v>
      </c>
      <c r="Q35" s="6" t="s">
        <v>616</v>
      </c>
      <c r="R35" s="6" t="s">
        <v>1059</v>
      </c>
      <c r="S35" s="38" t="s">
        <v>1179</v>
      </c>
      <c r="T35" s="26">
        <v>100</v>
      </c>
    </row>
    <row r="36" spans="2:20" ht="63.75">
      <c r="B36" s="6">
        <v>20</v>
      </c>
      <c r="C36" s="36" t="s">
        <v>714</v>
      </c>
      <c r="D36" s="37" t="s">
        <v>715</v>
      </c>
      <c r="E36" s="59" t="s">
        <v>1060</v>
      </c>
      <c r="F36" s="70" t="s">
        <v>1576</v>
      </c>
      <c r="G36" s="70" t="s">
        <v>1577</v>
      </c>
      <c r="H36" s="70" t="s">
        <v>1578</v>
      </c>
      <c r="I36" s="70" t="s">
        <v>1579</v>
      </c>
      <c r="J36" s="70" t="s">
        <v>1580</v>
      </c>
      <c r="K36" s="70" t="s">
        <v>143</v>
      </c>
      <c r="L36" s="70" t="s">
        <v>1489</v>
      </c>
      <c r="M36" s="38" t="s">
        <v>648</v>
      </c>
      <c r="N36" s="26">
        <v>50</v>
      </c>
      <c r="O36" s="57">
        <v>123214</v>
      </c>
      <c r="P36" s="62">
        <f t="shared" si="0"/>
        <v>6160700</v>
      </c>
      <c r="Q36" s="6" t="s">
        <v>505</v>
      </c>
      <c r="R36" s="6" t="s">
        <v>1055</v>
      </c>
      <c r="S36" s="38" t="s">
        <v>1179</v>
      </c>
      <c r="T36" s="26">
        <v>0</v>
      </c>
    </row>
    <row r="37" spans="2:20" ht="95.25" customHeight="1">
      <c r="B37" s="6">
        <v>21</v>
      </c>
      <c r="C37" s="36" t="s">
        <v>714</v>
      </c>
      <c r="D37" s="37" t="s">
        <v>715</v>
      </c>
      <c r="E37" s="6" t="s">
        <v>1491</v>
      </c>
      <c r="F37" s="70" t="s">
        <v>1581</v>
      </c>
      <c r="G37" s="70" t="s">
        <v>1492</v>
      </c>
      <c r="H37" s="70" t="s">
        <v>1582</v>
      </c>
      <c r="I37" s="70" t="s">
        <v>1493</v>
      </c>
      <c r="J37" s="70" t="s">
        <v>1581</v>
      </c>
      <c r="K37" s="70" t="s">
        <v>1492</v>
      </c>
      <c r="L37" s="70" t="s">
        <v>595</v>
      </c>
      <c r="M37" s="6" t="s">
        <v>642</v>
      </c>
      <c r="N37" s="26">
        <v>8</v>
      </c>
      <c r="O37" s="57">
        <f>P37/N37</f>
        <v>66964.5</v>
      </c>
      <c r="P37" s="62">
        <f>357144+178572</f>
        <v>535716</v>
      </c>
      <c r="Q37" s="6" t="s">
        <v>505</v>
      </c>
      <c r="R37" s="6" t="s">
        <v>506</v>
      </c>
      <c r="S37" s="38" t="s">
        <v>1179</v>
      </c>
      <c r="T37" s="26">
        <v>50</v>
      </c>
    </row>
    <row r="38" spans="2:20" ht="49.5" customHeight="1">
      <c r="B38" s="6">
        <v>22</v>
      </c>
      <c r="C38" s="36" t="s">
        <v>714</v>
      </c>
      <c r="D38" s="37" t="s">
        <v>715</v>
      </c>
      <c r="E38" s="6" t="s">
        <v>1494</v>
      </c>
      <c r="F38" s="70" t="s">
        <v>2476</v>
      </c>
      <c r="G38" s="70" t="s">
        <v>97</v>
      </c>
      <c r="H38" s="61" t="s">
        <v>2478</v>
      </c>
      <c r="I38" s="70" t="s">
        <v>2477</v>
      </c>
      <c r="J38" s="70" t="s">
        <v>2476</v>
      </c>
      <c r="K38" s="70" t="s">
        <v>97</v>
      </c>
      <c r="L38" s="70" t="s">
        <v>595</v>
      </c>
      <c r="M38" s="38" t="s">
        <v>648</v>
      </c>
      <c r="N38" s="26">
        <v>2</v>
      </c>
      <c r="O38" s="57">
        <f>P38/N38</f>
        <v>0</v>
      </c>
      <c r="P38" s="62">
        <f>178572-178572</f>
        <v>0</v>
      </c>
      <c r="Q38" s="6" t="s">
        <v>395</v>
      </c>
      <c r="R38" s="6" t="s">
        <v>395</v>
      </c>
      <c r="S38" s="38" t="s">
        <v>1179</v>
      </c>
      <c r="T38" s="26">
        <v>100</v>
      </c>
    </row>
    <row r="39" spans="2:20" ht="63.75">
      <c r="B39" s="6">
        <v>23</v>
      </c>
      <c r="C39" s="36" t="s">
        <v>714</v>
      </c>
      <c r="D39" s="37" t="s">
        <v>715</v>
      </c>
      <c r="E39" s="12" t="s">
        <v>1225</v>
      </c>
      <c r="F39" s="70" t="s">
        <v>1583</v>
      </c>
      <c r="G39" s="70" t="s">
        <v>1226</v>
      </c>
      <c r="H39" s="70" t="s">
        <v>1585</v>
      </c>
      <c r="I39" s="70" t="s">
        <v>1588</v>
      </c>
      <c r="J39" s="70" t="s">
        <v>1586</v>
      </c>
      <c r="K39" s="70" t="s">
        <v>177</v>
      </c>
      <c r="L39" s="70" t="s">
        <v>1490</v>
      </c>
      <c r="M39" s="38" t="s">
        <v>648</v>
      </c>
      <c r="N39" s="10">
        <v>1</v>
      </c>
      <c r="O39" s="57">
        <f>P39/N39</f>
        <v>21996029</v>
      </c>
      <c r="P39" s="62">
        <f>12538498+9457531</f>
        <v>21996029</v>
      </c>
      <c r="Q39" s="15" t="s">
        <v>616</v>
      </c>
      <c r="R39" s="15" t="s">
        <v>1478</v>
      </c>
      <c r="S39" s="38" t="s">
        <v>1179</v>
      </c>
      <c r="T39" s="15">
        <v>30</v>
      </c>
    </row>
    <row r="40" spans="2:20" ht="191.25">
      <c r="B40" s="6">
        <v>24</v>
      </c>
      <c r="C40" s="36" t="s">
        <v>714</v>
      </c>
      <c r="D40" s="37" t="s">
        <v>715</v>
      </c>
      <c r="E40" s="12" t="s">
        <v>1228</v>
      </c>
      <c r="F40" s="70" t="s">
        <v>1583</v>
      </c>
      <c r="G40" s="70" t="s">
        <v>1226</v>
      </c>
      <c r="H40" s="70" t="s">
        <v>1584</v>
      </c>
      <c r="I40" s="70" t="s">
        <v>1227</v>
      </c>
      <c r="J40" s="70" t="s">
        <v>1587</v>
      </c>
      <c r="K40" s="70" t="s">
        <v>178</v>
      </c>
      <c r="L40" s="70" t="s">
        <v>1490</v>
      </c>
      <c r="M40" s="38" t="s">
        <v>648</v>
      </c>
      <c r="N40" s="10">
        <v>2</v>
      </c>
      <c r="O40" s="57">
        <f>P40/N40</f>
        <v>0</v>
      </c>
      <c r="P40" s="62">
        <f>18715894-18715894</f>
        <v>0</v>
      </c>
      <c r="Q40" s="15" t="s">
        <v>519</v>
      </c>
      <c r="R40" s="15" t="s">
        <v>1478</v>
      </c>
      <c r="S40" s="38" t="s">
        <v>1179</v>
      </c>
      <c r="T40" s="15">
        <v>0</v>
      </c>
    </row>
    <row r="41" spans="2:20" ht="63.75">
      <c r="B41" s="6">
        <v>25</v>
      </c>
      <c r="C41" s="36" t="s">
        <v>714</v>
      </c>
      <c r="D41" s="37" t="s">
        <v>715</v>
      </c>
      <c r="E41" s="12" t="s">
        <v>1225</v>
      </c>
      <c r="F41" s="70" t="s">
        <v>1583</v>
      </c>
      <c r="G41" s="70" t="s">
        <v>1226</v>
      </c>
      <c r="H41" s="70" t="s">
        <v>1584</v>
      </c>
      <c r="I41" s="70" t="s">
        <v>1227</v>
      </c>
      <c r="J41" s="70" t="s">
        <v>1589</v>
      </c>
      <c r="K41" s="70" t="s">
        <v>179</v>
      </c>
      <c r="L41" s="70" t="s">
        <v>1490</v>
      </c>
      <c r="M41" s="38" t="s">
        <v>648</v>
      </c>
      <c r="N41" s="10">
        <v>1</v>
      </c>
      <c r="O41" s="57">
        <f>P41/N41</f>
        <v>0</v>
      </c>
      <c r="P41" s="62">
        <f>9457531-9457531</f>
        <v>0</v>
      </c>
      <c r="Q41" s="15" t="s">
        <v>519</v>
      </c>
      <c r="R41" s="15" t="s">
        <v>1478</v>
      </c>
      <c r="S41" s="38" t="s">
        <v>1179</v>
      </c>
      <c r="T41" s="15">
        <v>0</v>
      </c>
    </row>
    <row r="42" spans="2:20" ht="63.75">
      <c r="B42" s="6">
        <v>26</v>
      </c>
      <c r="C42" s="36" t="s">
        <v>714</v>
      </c>
      <c r="D42" s="37" t="s">
        <v>715</v>
      </c>
      <c r="E42" s="12" t="s">
        <v>1225</v>
      </c>
      <c r="F42" s="70" t="s">
        <v>1583</v>
      </c>
      <c r="G42" s="70" t="s">
        <v>1226</v>
      </c>
      <c r="H42" s="70" t="s">
        <v>1584</v>
      </c>
      <c r="I42" s="70" t="s">
        <v>1227</v>
      </c>
      <c r="J42" s="70" t="s">
        <v>1590</v>
      </c>
      <c r="K42" s="70" t="s">
        <v>180</v>
      </c>
      <c r="L42" s="70" t="s">
        <v>1490</v>
      </c>
      <c r="M42" s="38" t="s">
        <v>648</v>
      </c>
      <c r="N42" s="10">
        <v>1</v>
      </c>
      <c r="O42" s="57">
        <v>6749908</v>
      </c>
      <c r="P42" s="62">
        <f t="shared" si="0"/>
        <v>6749908</v>
      </c>
      <c r="Q42" s="15" t="s">
        <v>505</v>
      </c>
      <c r="R42" s="15" t="s">
        <v>1478</v>
      </c>
      <c r="S42" s="38" t="s">
        <v>1179</v>
      </c>
      <c r="T42" s="15">
        <v>50</v>
      </c>
    </row>
    <row r="43" spans="2:20" ht="63.75">
      <c r="B43" s="6">
        <v>27</v>
      </c>
      <c r="C43" s="36" t="s">
        <v>714</v>
      </c>
      <c r="D43" s="37" t="s">
        <v>715</v>
      </c>
      <c r="E43" s="12" t="s">
        <v>1229</v>
      </c>
      <c r="F43" s="70" t="s">
        <v>1591</v>
      </c>
      <c r="G43" s="70" t="s">
        <v>1230</v>
      </c>
      <c r="H43" s="70" t="s">
        <v>1591</v>
      </c>
      <c r="I43" s="70" t="s">
        <v>1230</v>
      </c>
      <c r="J43" s="70" t="s">
        <v>1592</v>
      </c>
      <c r="K43" s="70" t="s">
        <v>181</v>
      </c>
      <c r="L43" s="70" t="s">
        <v>1490</v>
      </c>
      <c r="M43" s="38" t="s">
        <v>648</v>
      </c>
      <c r="N43" s="10">
        <v>1</v>
      </c>
      <c r="O43" s="57">
        <v>8874951</v>
      </c>
      <c r="P43" s="62">
        <f t="shared" si="0"/>
        <v>8874951</v>
      </c>
      <c r="Q43" s="15" t="s">
        <v>505</v>
      </c>
      <c r="R43" s="15" t="s">
        <v>1478</v>
      </c>
      <c r="S43" s="38" t="s">
        <v>1179</v>
      </c>
      <c r="T43" s="15">
        <v>30</v>
      </c>
    </row>
    <row r="44" spans="2:20" ht="63.75">
      <c r="B44" s="6">
        <v>28</v>
      </c>
      <c r="C44" s="36" t="s">
        <v>714</v>
      </c>
      <c r="D44" s="37" t="s">
        <v>715</v>
      </c>
      <c r="E44" s="12" t="s">
        <v>1231</v>
      </c>
      <c r="F44" s="70" t="s">
        <v>1583</v>
      </c>
      <c r="G44" s="70" t="s">
        <v>1226</v>
      </c>
      <c r="H44" s="70" t="s">
        <v>1593</v>
      </c>
      <c r="I44" s="70" t="s">
        <v>182</v>
      </c>
      <c r="J44" s="70" t="s">
        <v>1593</v>
      </c>
      <c r="K44" s="70" t="s">
        <v>182</v>
      </c>
      <c r="L44" s="70" t="s">
        <v>1490</v>
      </c>
      <c r="M44" s="38" t="s">
        <v>648</v>
      </c>
      <c r="N44" s="10">
        <v>1</v>
      </c>
      <c r="O44" s="57">
        <v>15178571</v>
      </c>
      <c r="P44" s="62">
        <f t="shared" si="0"/>
        <v>15178571</v>
      </c>
      <c r="Q44" s="15" t="s">
        <v>616</v>
      </c>
      <c r="R44" s="15" t="s">
        <v>1478</v>
      </c>
      <c r="S44" s="38" t="s">
        <v>1179</v>
      </c>
      <c r="T44" s="15">
        <v>30</v>
      </c>
    </row>
    <row r="45" spans="2:20" ht="63.75">
      <c r="B45" s="6">
        <v>29</v>
      </c>
      <c r="C45" s="36" t="s">
        <v>714</v>
      </c>
      <c r="D45" s="37" t="s">
        <v>715</v>
      </c>
      <c r="E45" s="12" t="s">
        <v>1172</v>
      </c>
      <c r="F45" s="70" t="s">
        <v>1594</v>
      </c>
      <c r="G45" s="70" t="s">
        <v>1174</v>
      </c>
      <c r="H45" s="70" t="s">
        <v>1595</v>
      </c>
      <c r="I45" s="70" t="s">
        <v>1176</v>
      </c>
      <c r="J45" s="70" t="s">
        <v>1596</v>
      </c>
      <c r="K45" s="70" t="s">
        <v>121</v>
      </c>
      <c r="L45" s="70" t="s">
        <v>1490</v>
      </c>
      <c r="M45" s="38" t="s">
        <v>648</v>
      </c>
      <c r="N45" s="10">
        <v>150</v>
      </c>
      <c r="O45" s="57">
        <v>81354</v>
      </c>
      <c r="P45" s="62">
        <f t="shared" si="0"/>
        <v>12203100</v>
      </c>
      <c r="Q45" s="15" t="s">
        <v>505</v>
      </c>
      <c r="R45" s="15" t="s">
        <v>1479</v>
      </c>
      <c r="S45" s="38" t="s">
        <v>1179</v>
      </c>
      <c r="T45" s="15">
        <v>30</v>
      </c>
    </row>
    <row r="46" spans="2:20" ht="76.5">
      <c r="B46" s="6">
        <v>30</v>
      </c>
      <c r="C46" s="36" t="s">
        <v>714</v>
      </c>
      <c r="D46" s="37" t="s">
        <v>715</v>
      </c>
      <c r="E46" s="12" t="s">
        <v>1172</v>
      </c>
      <c r="F46" s="70" t="s">
        <v>1594</v>
      </c>
      <c r="G46" s="70" t="s">
        <v>1174</v>
      </c>
      <c r="H46" s="70" t="s">
        <v>1595</v>
      </c>
      <c r="I46" s="70" t="s">
        <v>1176</v>
      </c>
      <c r="J46" s="70" t="s">
        <v>1601</v>
      </c>
      <c r="K46" s="70" t="s">
        <v>183</v>
      </c>
      <c r="L46" s="70" t="s">
        <v>595</v>
      </c>
      <c r="M46" s="38" t="s">
        <v>648</v>
      </c>
      <c r="N46" s="10">
        <v>1</v>
      </c>
      <c r="O46" s="57">
        <v>2507813</v>
      </c>
      <c r="P46" s="62">
        <f t="shared" si="0"/>
        <v>2507813</v>
      </c>
      <c r="Q46" s="15" t="s">
        <v>616</v>
      </c>
      <c r="R46" s="15" t="s">
        <v>1479</v>
      </c>
      <c r="S46" s="38" t="s">
        <v>1179</v>
      </c>
      <c r="T46" s="15">
        <v>50</v>
      </c>
    </row>
    <row r="47" spans="2:20" ht="63.75">
      <c r="B47" s="6">
        <v>31</v>
      </c>
      <c r="C47" s="36" t="s">
        <v>714</v>
      </c>
      <c r="D47" s="37" t="s">
        <v>715</v>
      </c>
      <c r="E47" s="12" t="s">
        <v>1172</v>
      </c>
      <c r="F47" s="70" t="s">
        <v>1594</v>
      </c>
      <c r="G47" s="70" t="s">
        <v>1174</v>
      </c>
      <c r="H47" s="70" t="s">
        <v>1595</v>
      </c>
      <c r="I47" s="70" t="s">
        <v>1176</v>
      </c>
      <c r="J47" s="70" t="s">
        <v>1597</v>
      </c>
      <c r="K47" s="70" t="s">
        <v>127</v>
      </c>
      <c r="L47" s="70" t="s">
        <v>595</v>
      </c>
      <c r="M47" s="38" t="s">
        <v>648</v>
      </c>
      <c r="N47" s="10">
        <v>12</v>
      </c>
      <c r="O47" s="57">
        <f>P47/N47</f>
        <v>0</v>
      </c>
      <c r="P47" s="62">
        <f>1558740-1558740</f>
        <v>0</v>
      </c>
      <c r="Q47" s="15" t="s">
        <v>519</v>
      </c>
      <c r="R47" s="15" t="s">
        <v>1479</v>
      </c>
      <c r="S47" s="38" t="s">
        <v>1179</v>
      </c>
      <c r="T47" s="15">
        <v>30</v>
      </c>
    </row>
    <row r="48" spans="2:20" ht="63.75">
      <c r="B48" s="6">
        <v>32</v>
      </c>
      <c r="C48" s="36" t="s">
        <v>714</v>
      </c>
      <c r="D48" s="37" t="s">
        <v>715</v>
      </c>
      <c r="E48" s="12" t="s">
        <v>1172</v>
      </c>
      <c r="F48" s="70" t="s">
        <v>1594</v>
      </c>
      <c r="G48" s="70" t="s">
        <v>1174</v>
      </c>
      <c r="H48" s="70" t="s">
        <v>1595</v>
      </c>
      <c r="I48" s="70" t="s">
        <v>1176</v>
      </c>
      <c r="J48" s="70" t="s">
        <v>1598</v>
      </c>
      <c r="K48" s="70" t="s">
        <v>184</v>
      </c>
      <c r="L48" s="70" t="s">
        <v>1490</v>
      </c>
      <c r="M48" s="38" t="s">
        <v>648</v>
      </c>
      <c r="N48" s="10">
        <v>180</v>
      </c>
      <c r="O48" s="57">
        <f>P48/N48</f>
        <v>5952.333333333333</v>
      </c>
      <c r="P48" s="62">
        <f>9642780-8571360</f>
        <v>1071420</v>
      </c>
      <c r="Q48" s="15" t="s">
        <v>505</v>
      </c>
      <c r="R48" s="15" t="s">
        <v>1479</v>
      </c>
      <c r="S48" s="38" t="s">
        <v>1179</v>
      </c>
      <c r="T48" s="15">
        <v>30</v>
      </c>
    </row>
    <row r="49" spans="1:20" ht="63.75">
      <c r="B49" s="6">
        <v>33</v>
      </c>
      <c r="C49" s="36" t="s">
        <v>714</v>
      </c>
      <c r="D49" s="37" t="s">
        <v>715</v>
      </c>
      <c r="E49" s="12" t="s">
        <v>1172</v>
      </c>
      <c r="F49" s="70" t="s">
        <v>1594</v>
      </c>
      <c r="G49" s="70" t="s">
        <v>1174</v>
      </c>
      <c r="H49" s="70" t="s">
        <v>1595</v>
      </c>
      <c r="I49" s="70" t="s">
        <v>1176</v>
      </c>
      <c r="J49" s="70" t="s">
        <v>1599</v>
      </c>
      <c r="K49" s="70" t="s">
        <v>126</v>
      </c>
      <c r="L49" s="70" t="s">
        <v>1490</v>
      </c>
      <c r="M49" s="38" t="s">
        <v>648</v>
      </c>
      <c r="N49" s="10">
        <v>8</v>
      </c>
      <c r="O49" s="57">
        <f>P49/N49</f>
        <v>2388811.5</v>
      </c>
      <c r="P49" s="62">
        <f>17551752+1558740</f>
        <v>19110492</v>
      </c>
      <c r="Q49" s="15" t="s">
        <v>616</v>
      </c>
      <c r="R49" s="15" t="s">
        <v>1479</v>
      </c>
      <c r="S49" s="38" t="s">
        <v>1179</v>
      </c>
      <c r="T49" s="15">
        <v>30</v>
      </c>
    </row>
    <row r="50" spans="1:20" ht="63.75">
      <c r="B50" s="6">
        <v>34</v>
      </c>
      <c r="C50" s="36" t="s">
        <v>714</v>
      </c>
      <c r="D50" s="37" t="s">
        <v>715</v>
      </c>
      <c r="E50" s="12" t="s">
        <v>1172</v>
      </c>
      <c r="F50" s="70" t="s">
        <v>1594</v>
      </c>
      <c r="G50" s="70" t="s">
        <v>1174</v>
      </c>
      <c r="H50" s="70" t="s">
        <v>1595</v>
      </c>
      <c r="I50" s="70" t="s">
        <v>1176</v>
      </c>
      <c r="J50" s="70" t="s">
        <v>1600</v>
      </c>
      <c r="K50" s="70" t="s">
        <v>185</v>
      </c>
      <c r="L50" s="70" t="s">
        <v>595</v>
      </c>
      <c r="M50" s="38" t="s">
        <v>648</v>
      </c>
      <c r="N50" s="10">
        <v>200</v>
      </c>
      <c r="O50" s="57">
        <v>15590</v>
      </c>
      <c r="P50" s="62">
        <f t="shared" si="0"/>
        <v>3118000</v>
      </c>
      <c r="Q50" s="15" t="s">
        <v>505</v>
      </c>
      <c r="R50" s="15" t="s">
        <v>1479</v>
      </c>
      <c r="S50" s="38" t="s">
        <v>1179</v>
      </c>
      <c r="T50" s="15">
        <v>30</v>
      </c>
    </row>
    <row r="51" spans="1:20" ht="63.75">
      <c r="B51" s="6">
        <v>35</v>
      </c>
      <c r="C51" s="16" t="s">
        <v>714</v>
      </c>
      <c r="D51" s="37" t="s">
        <v>715</v>
      </c>
      <c r="E51" s="12" t="s">
        <v>1026</v>
      </c>
      <c r="F51" s="70" t="s">
        <v>724</v>
      </c>
      <c r="G51" s="70" t="s">
        <v>724</v>
      </c>
      <c r="H51" s="70" t="s">
        <v>2116</v>
      </c>
      <c r="I51" s="70" t="s">
        <v>1027</v>
      </c>
      <c r="J51" s="70" t="s">
        <v>2099</v>
      </c>
      <c r="K51" s="70" t="s">
        <v>145</v>
      </c>
      <c r="L51" s="70" t="s">
        <v>595</v>
      </c>
      <c r="M51" s="38" t="s">
        <v>648</v>
      </c>
      <c r="N51" s="26">
        <v>3</v>
      </c>
      <c r="O51" s="57">
        <v>75893</v>
      </c>
      <c r="P51" s="62">
        <f t="shared" si="0"/>
        <v>227679</v>
      </c>
      <c r="Q51" s="6" t="s">
        <v>395</v>
      </c>
      <c r="R51" s="6" t="s">
        <v>1028</v>
      </c>
      <c r="S51" s="38" t="s">
        <v>1025</v>
      </c>
      <c r="T51" s="6">
        <v>100</v>
      </c>
    </row>
    <row r="52" spans="1:20" s="14" customFormat="1" ht="60" customHeight="1">
      <c r="A52" s="2"/>
      <c r="B52" s="6">
        <v>36</v>
      </c>
      <c r="C52" s="36" t="s">
        <v>714</v>
      </c>
      <c r="D52" s="37" t="s">
        <v>715</v>
      </c>
      <c r="E52" s="6" t="s">
        <v>980</v>
      </c>
      <c r="F52" s="70" t="s">
        <v>734</v>
      </c>
      <c r="G52" s="70" t="s">
        <v>735</v>
      </c>
      <c r="H52" s="70" t="s">
        <v>981</v>
      </c>
      <c r="I52" s="70" t="s">
        <v>982</v>
      </c>
      <c r="J52" s="70" t="s">
        <v>2117</v>
      </c>
      <c r="K52" s="70" t="s">
        <v>342</v>
      </c>
      <c r="L52" s="70" t="s">
        <v>595</v>
      </c>
      <c r="M52" s="38" t="s">
        <v>648</v>
      </c>
      <c r="N52" s="26">
        <v>3</v>
      </c>
      <c r="O52" s="57">
        <f>P52/N52</f>
        <v>0</v>
      </c>
      <c r="P52" s="62">
        <f>118713-118713</f>
        <v>0</v>
      </c>
      <c r="Q52" s="6" t="s">
        <v>616</v>
      </c>
      <c r="R52" s="6" t="s">
        <v>770</v>
      </c>
      <c r="S52" s="38" t="s">
        <v>2031</v>
      </c>
      <c r="T52" s="26">
        <v>50</v>
      </c>
    </row>
    <row r="53" spans="1:20" s="14" customFormat="1" ht="102">
      <c r="A53" s="17"/>
      <c r="B53" s="6">
        <v>37</v>
      </c>
      <c r="C53" s="36" t="s">
        <v>714</v>
      </c>
      <c r="D53" s="37" t="s">
        <v>715</v>
      </c>
      <c r="E53" s="11" t="s">
        <v>752</v>
      </c>
      <c r="F53" s="70" t="s">
        <v>983</v>
      </c>
      <c r="G53" s="70" t="s">
        <v>983</v>
      </c>
      <c r="H53" s="70" t="s">
        <v>2169</v>
      </c>
      <c r="I53" s="70" t="s">
        <v>755</v>
      </c>
      <c r="J53" s="70" t="s">
        <v>2118</v>
      </c>
      <c r="K53" s="70" t="s">
        <v>146</v>
      </c>
      <c r="L53" s="70" t="s">
        <v>595</v>
      </c>
      <c r="M53" s="38" t="s">
        <v>648</v>
      </c>
      <c r="N53" s="26">
        <v>2</v>
      </c>
      <c r="O53" s="57">
        <f>P53/N53</f>
        <v>28215</v>
      </c>
      <c r="P53" s="62">
        <f>56430</f>
        <v>56430</v>
      </c>
      <c r="Q53" s="6" t="s">
        <v>506</v>
      </c>
      <c r="R53" s="6" t="s">
        <v>1055</v>
      </c>
      <c r="S53" s="38" t="s">
        <v>2031</v>
      </c>
      <c r="T53" s="26">
        <v>50</v>
      </c>
    </row>
    <row r="54" spans="1:20" s="14" customFormat="1" ht="63.75">
      <c r="A54" s="17"/>
      <c r="B54" s="6">
        <v>38</v>
      </c>
      <c r="C54" s="36" t="s">
        <v>714</v>
      </c>
      <c r="D54" s="37" t="s">
        <v>715</v>
      </c>
      <c r="E54" s="16" t="s">
        <v>767</v>
      </c>
      <c r="F54" s="70" t="s">
        <v>801</v>
      </c>
      <c r="G54" s="70" t="s">
        <v>801</v>
      </c>
      <c r="H54" s="70" t="s">
        <v>802</v>
      </c>
      <c r="I54" s="70" t="s">
        <v>768</v>
      </c>
      <c r="J54" s="70" t="s">
        <v>2160</v>
      </c>
      <c r="K54" s="70" t="s">
        <v>147</v>
      </c>
      <c r="L54" s="70" t="s">
        <v>595</v>
      </c>
      <c r="M54" s="38" t="s">
        <v>648</v>
      </c>
      <c r="N54" s="26">
        <v>2</v>
      </c>
      <c r="O54" s="57">
        <v>16071</v>
      </c>
      <c r="P54" s="62">
        <f t="shared" si="0"/>
        <v>32142</v>
      </c>
      <c r="Q54" s="6" t="s">
        <v>616</v>
      </c>
      <c r="R54" s="6" t="s">
        <v>770</v>
      </c>
      <c r="S54" s="38" t="s">
        <v>2031</v>
      </c>
      <c r="T54" s="26">
        <v>50</v>
      </c>
    </row>
    <row r="55" spans="1:20" s="14" customFormat="1" ht="76.5">
      <c r="A55" s="17"/>
      <c r="B55" s="6">
        <v>39</v>
      </c>
      <c r="C55" s="16" t="s">
        <v>714</v>
      </c>
      <c r="D55" s="37" t="s">
        <v>715</v>
      </c>
      <c r="E55" s="16" t="s">
        <v>727</v>
      </c>
      <c r="F55" s="70" t="s">
        <v>878</v>
      </c>
      <c r="G55" s="70" t="s">
        <v>878</v>
      </c>
      <c r="H55" s="70" t="s">
        <v>879</v>
      </c>
      <c r="I55" s="70" t="s">
        <v>880</v>
      </c>
      <c r="J55" s="70" t="s">
        <v>2093</v>
      </c>
      <c r="K55" s="70" t="s">
        <v>343</v>
      </c>
      <c r="L55" s="70" t="s">
        <v>595</v>
      </c>
      <c r="M55" s="38" t="s">
        <v>648</v>
      </c>
      <c r="N55" s="26">
        <v>2</v>
      </c>
      <c r="O55" s="57">
        <v>34857</v>
      </c>
      <c r="P55" s="62">
        <f>69714-69714</f>
        <v>0</v>
      </c>
      <c r="Q55" s="6" t="s">
        <v>616</v>
      </c>
      <c r="R55" s="6" t="s">
        <v>1055</v>
      </c>
      <c r="S55" s="38" t="s">
        <v>2031</v>
      </c>
      <c r="T55" s="26">
        <v>50</v>
      </c>
    </row>
    <row r="56" spans="1:20" s="14" customFormat="1" ht="102">
      <c r="A56" s="17"/>
      <c r="B56" s="6">
        <v>40</v>
      </c>
      <c r="C56" s="16" t="s">
        <v>714</v>
      </c>
      <c r="D56" s="37" t="s">
        <v>715</v>
      </c>
      <c r="E56" s="16" t="s">
        <v>720</v>
      </c>
      <c r="F56" s="70" t="s">
        <v>878</v>
      </c>
      <c r="G56" s="70" t="s">
        <v>878</v>
      </c>
      <c r="H56" s="70" t="s">
        <v>881</v>
      </c>
      <c r="I56" s="70" t="s">
        <v>722</v>
      </c>
      <c r="J56" s="70" t="s">
        <v>2094</v>
      </c>
      <c r="K56" s="70" t="s">
        <v>344</v>
      </c>
      <c r="L56" s="70" t="s">
        <v>595</v>
      </c>
      <c r="M56" s="38" t="s">
        <v>648</v>
      </c>
      <c r="N56" s="26">
        <v>5</v>
      </c>
      <c r="O56" s="57">
        <v>39857</v>
      </c>
      <c r="P56" s="62">
        <f t="shared" si="0"/>
        <v>199285</v>
      </c>
      <c r="Q56" s="6" t="s">
        <v>506</v>
      </c>
      <c r="R56" s="6" t="s">
        <v>1055</v>
      </c>
      <c r="S56" s="38" t="s">
        <v>2031</v>
      </c>
      <c r="T56" s="26">
        <v>50</v>
      </c>
    </row>
    <row r="57" spans="1:20" s="14" customFormat="1" ht="63.75">
      <c r="A57" s="17"/>
      <c r="B57" s="6">
        <v>41</v>
      </c>
      <c r="C57" s="16" t="s">
        <v>714</v>
      </c>
      <c r="D57" s="37" t="s">
        <v>715</v>
      </c>
      <c r="E57" s="6" t="s">
        <v>984</v>
      </c>
      <c r="F57" s="70" t="s">
        <v>734</v>
      </c>
      <c r="G57" s="70" t="s">
        <v>172</v>
      </c>
      <c r="H57" s="70" t="s">
        <v>985</v>
      </c>
      <c r="I57" s="70" t="s">
        <v>986</v>
      </c>
      <c r="J57" s="70" t="s">
        <v>985</v>
      </c>
      <c r="K57" s="70" t="s">
        <v>345</v>
      </c>
      <c r="L57" s="70" t="s">
        <v>595</v>
      </c>
      <c r="M57" s="38" t="s">
        <v>648</v>
      </c>
      <c r="N57" s="26">
        <v>1</v>
      </c>
      <c r="O57" s="57">
        <f>P57/N57</f>
        <v>0</v>
      </c>
      <c r="P57" s="62">
        <f>73714-73714</f>
        <v>0</v>
      </c>
      <c r="Q57" s="6" t="s">
        <v>616</v>
      </c>
      <c r="R57" s="6" t="s">
        <v>1055</v>
      </c>
      <c r="S57" s="38" t="s">
        <v>2031</v>
      </c>
      <c r="T57" s="26">
        <v>50</v>
      </c>
    </row>
    <row r="58" spans="1:20" s="14" customFormat="1" ht="63.75">
      <c r="A58" s="17"/>
      <c r="B58" s="6">
        <v>42</v>
      </c>
      <c r="C58" s="36" t="s">
        <v>714</v>
      </c>
      <c r="D58" s="37" t="s">
        <v>715</v>
      </c>
      <c r="E58" s="6" t="s">
        <v>987</v>
      </c>
      <c r="F58" s="70" t="s">
        <v>759</v>
      </c>
      <c r="G58" s="70" t="s">
        <v>759</v>
      </c>
      <c r="H58" s="70" t="s">
        <v>988</v>
      </c>
      <c r="I58" s="70" t="s">
        <v>989</v>
      </c>
      <c r="J58" s="70" t="s">
        <v>2119</v>
      </c>
      <c r="K58" s="70" t="s">
        <v>2119</v>
      </c>
      <c r="L58" s="70" t="s">
        <v>595</v>
      </c>
      <c r="M58" s="38" t="s">
        <v>648</v>
      </c>
      <c r="N58" s="26">
        <v>1</v>
      </c>
      <c r="O58" s="57">
        <v>94714</v>
      </c>
      <c r="P58" s="62">
        <f t="shared" si="0"/>
        <v>94714</v>
      </c>
      <c r="Q58" s="6" t="s">
        <v>519</v>
      </c>
      <c r="R58" s="6" t="s">
        <v>1055</v>
      </c>
      <c r="S58" s="38" t="s">
        <v>2031</v>
      </c>
      <c r="T58" s="26">
        <v>50</v>
      </c>
    </row>
    <row r="59" spans="1:20" s="14" customFormat="1" ht="63.75">
      <c r="A59" s="17"/>
      <c r="B59" s="6">
        <v>43</v>
      </c>
      <c r="C59" s="16" t="s">
        <v>714</v>
      </c>
      <c r="D59" s="37" t="s">
        <v>715</v>
      </c>
      <c r="E59" s="6" t="s">
        <v>951</v>
      </c>
      <c r="F59" s="70" t="s">
        <v>983</v>
      </c>
      <c r="G59" s="70" t="s">
        <v>983</v>
      </c>
      <c r="H59" s="70" t="s">
        <v>990</v>
      </c>
      <c r="I59" s="70" t="s">
        <v>991</v>
      </c>
      <c r="J59" s="70" t="s">
        <v>983</v>
      </c>
      <c r="K59" s="70" t="s">
        <v>983</v>
      </c>
      <c r="L59" s="70" t="s">
        <v>595</v>
      </c>
      <c r="M59" s="38" t="s">
        <v>648</v>
      </c>
      <c r="N59" s="26">
        <v>2</v>
      </c>
      <c r="O59" s="57">
        <v>58429</v>
      </c>
      <c r="P59" s="62">
        <f t="shared" si="0"/>
        <v>116858</v>
      </c>
      <c r="Q59" s="6" t="s">
        <v>395</v>
      </c>
      <c r="R59" s="6" t="s">
        <v>1055</v>
      </c>
      <c r="S59" s="38" t="s">
        <v>2031</v>
      </c>
      <c r="T59" s="26">
        <v>50</v>
      </c>
    </row>
    <row r="60" spans="1:20" s="14" customFormat="1" ht="114.75">
      <c r="A60" s="17"/>
      <c r="B60" s="6">
        <v>44</v>
      </c>
      <c r="C60" s="36" t="s">
        <v>714</v>
      </c>
      <c r="D60" s="37" t="s">
        <v>715</v>
      </c>
      <c r="E60" s="12" t="s">
        <v>999</v>
      </c>
      <c r="F60" s="70" t="s">
        <v>734</v>
      </c>
      <c r="G60" s="70" t="s">
        <v>735</v>
      </c>
      <c r="H60" s="70" t="s">
        <v>1000</v>
      </c>
      <c r="I60" s="70" t="s">
        <v>1001</v>
      </c>
      <c r="J60" s="70" t="s">
        <v>2120</v>
      </c>
      <c r="K60" s="70" t="s">
        <v>346</v>
      </c>
      <c r="L60" s="70" t="s">
        <v>595</v>
      </c>
      <c r="M60" s="38" t="s">
        <v>648</v>
      </c>
      <c r="N60" s="26">
        <v>3</v>
      </c>
      <c r="O60" s="57">
        <f>P60/N60</f>
        <v>0</v>
      </c>
      <c r="P60" s="62">
        <f>58713-58713</f>
        <v>0</v>
      </c>
      <c r="Q60" s="6" t="s">
        <v>616</v>
      </c>
      <c r="R60" s="6" t="s">
        <v>770</v>
      </c>
      <c r="S60" s="38" t="s">
        <v>2031</v>
      </c>
      <c r="T60" s="26">
        <v>50</v>
      </c>
    </row>
    <row r="61" spans="1:20" s="14" customFormat="1" ht="89.25">
      <c r="A61" s="17"/>
      <c r="B61" s="6">
        <v>45</v>
      </c>
      <c r="C61" s="16" t="s">
        <v>714</v>
      </c>
      <c r="D61" s="37" t="s">
        <v>715</v>
      </c>
      <c r="E61" s="12" t="s">
        <v>949</v>
      </c>
      <c r="F61" s="70" t="s">
        <v>1534</v>
      </c>
      <c r="G61" s="70" t="s">
        <v>1534</v>
      </c>
      <c r="H61" s="70" t="s">
        <v>992</v>
      </c>
      <c r="I61" s="70" t="s">
        <v>950</v>
      </c>
      <c r="J61" s="70" t="s">
        <v>2121</v>
      </c>
      <c r="K61" s="70" t="s">
        <v>347</v>
      </c>
      <c r="L61" s="70" t="s">
        <v>595</v>
      </c>
      <c r="M61" s="38" t="s">
        <v>648</v>
      </c>
      <c r="N61" s="26">
        <v>3</v>
      </c>
      <c r="O61" s="57">
        <f>P61/N61</f>
        <v>0</v>
      </c>
      <c r="P61" s="62">
        <f>54429-54429</f>
        <v>0</v>
      </c>
      <c r="Q61" s="6" t="s">
        <v>616</v>
      </c>
      <c r="R61" s="6" t="s">
        <v>1055</v>
      </c>
      <c r="S61" s="38" t="s">
        <v>2031</v>
      </c>
      <c r="T61" s="26">
        <v>50</v>
      </c>
    </row>
    <row r="62" spans="1:20" s="14" customFormat="1" ht="89.25">
      <c r="A62" s="17"/>
      <c r="B62" s="6">
        <v>46</v>
      </c>
      <c r="C62" s="36" t="s">
        <v>714</v>
      </c>
      <c r="D62" s="37" t="s">
        <v>715</v>
      </c>
      <c r="E62" s="12" t="s">
        <v>993</v>
      </c>
      <c r="F62" s="70" t="s">
        <v>753</v>
      </c>
      <c r="G62" s="70" t="s">
        <v>753</v>
      </c>
      <c r="H62" s="70" t="s">
        <v>994</v>
      </c>
      <c r="I62" s="70" t="s">
        <v>995</v>
      </c>
      <c r="J62" s="70" t="s">
        <v>2123</v>
      </c>
      <c r="K62" s="70" t="s">
        <v>2122</v>
      </c>
      <c r="L62" s="70" t="s">
        <v>595</v>
      </c>
      <c r="M62" s="38" t="s">
        <v>648</v>
      </c>
      <c r="N62" s="26">
        <v>1</v>
      </c>
      <c r="O62" s="57">
        <f>P62/N62</f>
        <v>0</v>
      </c>
      <c r="P62" s="62">
        <f>53143-53143</f>
        <v>0</v>
      </c>
      <c r="Q62" s="6" t="s">
        <v>616</v>
      </c>
      <c r="R62" s="6" t="s">
        <v>1055</v>
      </c>
      <c r="S62" s="38" t="s">
        <v>2031</v>
      </c>
      <c r="T62" s="26">
        <v>50</v>
      </c>
    </row>
    <row r="63" spans="1:20" s="14" customFormat="1" ht="127.5">
      <c r="A63" s="17"/>
      <c r="B63" s="6">
        <v>47</v>
      </c>
      <c r="C63" s="36" t="s">
        <v>714</v>
      </c>
      <c r="D63" s="37" t="s">
        <v>715</v>
      </c>
      <c r="E63" s="12" t="s">
        <v>996</v>
      </c>
      <c r="F63" s="70" t="s">
        <v>753</v>
      </c>
      <c r="G63" s="70" t="s">
        <v>753</v>
      </c>
      <c r="H63" s="70" t="s">
        <v>997</v>
      </c>
      <c r="I63" s="70" t="s">
        <v>998</v>
      </c>
      <c r="J63" s="70" t="s">
        <v>2125</v>
      </c>
      <c r="K63" s="70" t="s">
        <v>2124</v>
      </c>
      <c r="L63" s="70" t="s">
        <v>595</v>
      </c>
      <c r="M63" s="38" t="s">
        <v>648</v>
      </c>
      <c r="N63" s="26">
        <v>6</v>
      </c>
      <c r="O63" s="57">
        <v>38286</v>
      </c>
      <c r="P63" s="62">
        <f t="shared" si="0"/>
        <v>229716</v>
      </c>
      <c r="Q63" s="6" t="s">
        <v>616</v>
      </c>
      <c r="R63" s="6" t="s">
        <v>1055</v>
      </c>
      <c r="S63" s="38" t="s">
        <v>2031</v>
      </c>
      <c r="T63" s="26">
        <v>50</v>
      </c>
    </row>
    <row r="64" spans="1:20" s="14" customFormat="1" ht="114.75">
      <c r="A64" s="17"/>
      <c r="B64" s="6">
        <v>48</v>
      </c>
      <c r="C64" s="36" t="s">
        <v>714</v>
      </c>
      <c r="D64" s="37" t="s">
        <v>715</v>
      </c>
      <c r="E64" s="12" t="s">
        <v>999</v>
      </c>
      <c r="F64" s="70" t="s">
        <v>734</v>
      </c>
      <c r="G64" s="70" t="s">
        <v>735</v>
      </c>
      <c r="H64" s="70" t="s">
        <v>1000</v>
      </c>
      <c r="I64" s="70" t="s">
        <v>1001</v>
      </c>
      <c r="J64" s="70" t="s">
        <v>2120</v>
      </c>
      <c r="K64" s="70" t="s">
        <v>348</v>
      </c>
      <c r="L64" s="70" t="s">
        <v>595</v>
      </c>
      <c r="M64" s="38" t="s">
        <v>648</v>
      </c>
      <c r="N64" s="26">
        <v>2</v>
      </c>
      <c r="O64" s="57">
        <v>19571</v>
      </c>
      <c r="P64" s="62">
        <f t="shared" si="0"/>
        <v>39142</v>
      </c>
      <c r="Q64" s="6" t="s">
        <v>702</v>
      </c>
      <c r="R64" s="6" t="s">
        <v>770</v>
      </c>
      <c r="S64" s="38" t="s">
        <v>2031</v>
      </c>
      <c r="T64" s="26">
        <v>50</v>
      </c>
    </row>
    <row r="65" spans="1:20" s="14" customFormat="1" ht="102">
      <c r="A65" s="17"/>
      <c r="B65" s="6">
        <v>49</v>
      </c>
      <c r="C65" s="36" t="s">
        <v>714</v>
      </c>
      <c r="D65" s="37" t="s">
        <v>715</v>
      </c>
      <c r="E65" s="11" t="s">
        <v>752</v>
      </c>
      <c r="F65" s="70" t="s">
        <v>983</v>
      </c>
      <c r="G65" s="70" t="s">
        <v>983</v>
      </c>
      <c r="H65" s="70" t="s">
        <v>754</v>
      </c>
      <c r="I65" s="70" t="s">
        <v>755</v>
      </c>
      <c r="J65" s="70" t="s">
        <v>2126</v>
      </c>
      <c r="K65" s="70" t="s">
        <v>2127</v>
      </c>
      <c r="L65" s="70" t="s">
        <v>595</v>
      </c>
      <c r="M65" s="38" t="s">
        <v>648</v>
      </c>
      <c r="N65" s="26">
        <v>1</v>
      </c>
      <c r="O65" s="57">
        <f>P65/N65</f>
        <v>0</v>
      </c>
      <c r="P65" s="62">
        <f>60286-60286</f>
        <v>0</v>
      </c>
      <c r="Q65" s="6" t="s">
        <v>616</v>
      </c>
      <c r="R65" s="6" t="s">
        <v>1055</v>
      </c>
      <c r="S65" s="38" t="s">
        <v>2031</v>
      </c>
      <c r="T65" s="26">
        <v>50</v>
      </c>
    </row>
    <row r="66" spans="1:20" s="14" customFormat="1" ht="63.75">
      <c r="A66" s="17"/>
      <c r="B66" s="6">
        <v>50</v>
      </c>
      <c r="C66" s="16" t="s">
        <v>714</v>
      </c>
      <c r="D66" s="37" t="s">
        <v>715</v>
      </c>
      <c r="E66" s="12" t="s">
        <v>1002</v>
      </c>
      <c r="F66" s="70" t="s">
        <v>724</v>
      </c>
      <c r="G66" s="70" t="s">
        <v>724</v>
      </c>
      <c r="H66" s="70" t="s">
        <v>1003</v>
      </c>
      <c r="I66" s="70" t="s">
        <v>1004</v>
      </c>
      <c r="J66" s="70" t="s">
        <v>2099</v>
      </c>
      <c r="K66" s="70" t="s">
        <v>145</v>
      </c>
      <c r="L66" s="70" t="s">
        <v>595</v>
      </c>
      <c r="M66" s="38" t="s">
        <v>648</v>
      </c>
      <c r="N66" s="26">
        <v>3</v>
      </c>
      <c r="O66" s="57">
        <v>57143</v>
      </c>
      <c r="P66" s="62">
        <f t="shared" si="0"/>
        <v>171429</v>
      </c>
      <c r="Q66" s="6" t="s">
        <v>395</v>
      </c>
      <c r="R66" s="6" t="s">
        <v>1055</v>
      </c>
      <c r="S66" s="38" t="s">
        <v>2031</v>
      </c>
      <c r="T66" s="26">
        <v>50</v>
      </c>
    </row>
    <row r="67" spans="1:20" s="39" customFormat="1" ht="78" customHeight="1">
      <c r="B67" s="6">
        <v>51</v>
      </c>
      <c r="C67" s="36" t="s">
        <v>714</v>
      </c>
      <c r="D67" s="37" t="s">
        <v>715</v>
      </c>
      <c r="E67" s="6" t="s">
        <v>733</v>
      </c>
      <c r="F67" s="70" t="s">
        <v>734</v>
      </c>
      <c r="G67" s="70" t="s">
        <v>735</v>
      </c>
      <c r="H67" s="70" t="s">
        <v>877</v>
      </c>
      <c r="I67" s="70" t="s">
        <v>737</v>
      </c>
      <c r="J67" s="70" t="s">
        <v>2128</v>
      </c>
      <c r="K67" s="70" t="s">
        <v>148</v>
      </c>
      <c r="L67" s="70" t="s">
        <v>595</v>
      </c>
      <c r="M67" s="38" t="s">
        <v>648</v>
      </c>
      <c r="N67" s="26">
        <v>1</v>
      </c>
      <c r="O67" s="57">
        <v>69643</v>
      </c>
      <c r="P67" s="62">
        <f t="shared" si="0"/>
        <v>69643</v>
      </c>
      <c r="Q67" s="6" t="s">
        <v>395</v>
      </c>
      <c r="R67" s="6" t="s">
        <v>519</v>
      </c>
      <c r="S67" s="38">
        <v>551000000</v>
      </c>
      <c r="T67" s="26">
        <v>100</v>
      </c>
    </row>
    <row r="68" spans="1:20" s="39" customFormat="1" ht="81" customHeight="1">
      <c r="B68" s="6">
        <v>52</v>
      </c>
      <c r="C68" s="16" t="s">
        <v>714</v>
      </c>
      <c r="D68" s="37" t="s">
        <v>715</v>
      </c>
      <c r="E68" s="6" t="s">
        <v>727</v>
      </c>
      <c r="F68" s="70" t="s">
        <v>724</v>
      </c>
      <c r="G68" s="70" t="s">
        <v>878</v>
      </c>
      <c r="H68" s="70" t="s">
        <v>879</v>
      </c>
      <c r="I68" s="70" t="s">
        <v>880</v>
      </c>
      <c r="J68" s="70" t="s">
        <v>2093</v>
      </c>
      <c r="K68" s="70" t="s">
        <v>125</v>
      </c>
      <c r="L68" s="70" t="s">
        <v>595</v>
      </c>
      <c r="M68" s="38" t="s">
        <v>648</v>
      </c>
      <c r="N68" s="26">
        <v>1</v>
      </c>
      <c r="O68" s="57">
        <v>33482</v>
      </c>
      <c r="P68" s="62">
        <f t="shared" si="0"/>
        <v>33482</v>
      </c>
      <c r="Q68" s="6" t="s">
        <v>395</v>
      </c>
      <c r="R68" s="6" t="s">
        <v>395</v>
      </c>
      <c r="S68" s="38">
        <v>551000000</v>
      </c>
      <c r="T68" s="26">
        <v>100</v>
      </c>
    </row>
    <row r="69" spans="1:20" s="39" customFormat="1" ht="90" customHeight="1">
      <c r="B69" s="6">
        <v>53</v>
      </c>
      <c r="C69" s="16" t="s">
        <v>714</v>
      </c>
      <c r="D69" s="37" t="s">
        <v>715</v>
      </c>
      <c r="E69" s="6" t="s">
        <v>720</v>
      </c>
      <c r="F69" s="70" t="s">
        <v>724</v>
      </c>
      <c r="G69" s="70" t="s">
        <v>878</v>
      </c>
      <c r="H69" s="70" t="s">
        <v>881</v>
      </c>
      <c r="I69" s="70" t="s">
        <v>722</v>
      </c>
      <c r="J69" s="70" t="s">
        <v>2094</v>
      </c>
      <c r="K69" s="70" t="s">
        <v>149</v>
      </c>
      <c r="L69" s="70" t="s">
        <v>595</v>
      </c>
      <c r="M69" s="38" t="s">
        <v>648</v>
      </c>
      <c r="N69" s="26">
        <v>1</v>
      </c>
      <c r="O69" s="57">
        <v>33482</v>
      </c>
      <c r="P69" s="62">
        <f t="shared" si="0"/>
        <v>33482</v>
      </c>
      <c r="Q69" s="6" t="s">
        <v>395</v>
      </c>
      <c r="R69" s="6" t="s">
        <v>395</v>
      </c>
      <c r="S69" s="38">
        <v>551000000</v>
      </c>
      <c r="T69" s="26">
        <v>100</v>
      </c>
    </row>
    <row r="70" spans="1:20" s="39" customFormat="1" ht="73.5" customHeight="1">
      <c r="B70" s="6">
        <v>54</v>
      </c>
      <c r="C70" s="36" t="s">
        <v>714</v>
      </c>
      <c r="D70" s="37" t="s">
        <v>715</v>
      </c>
      <c r="E70" s="6" t="s">
        <v>758</v>
      </c>
      <c r="F70" s="70" t="s">
        <v>759</v>
      </c>
      <c r="G70" s="70" t="s">
        <v>759</v>
      </c>
      <c r="H70" s="70" t="s">
        <v>882</v>
      </c>
      <c r="I70" s="70" t="s">
        <v>883</v>
      </c>
      <c r="J70" s="70" t="s">
        <v>2129</v>
      </c>
      <c r="K70" s="70" t="s">
        <v>150</v>
      </c>
      <c r="L70" s="70" t="s">
        <v>595</v>
      </c>
      <c r="M70" s="38" t="s">
        <v>648</v>
      </c>
      <c r="N70" s="26">
        <v>1</v>
      </c>
      <c r="O70" s="57">
        <v>66964</v>
      </c>
      <c r="P70" s="62">
        <f t="shared" si="0"/>
        <v>66964</v>
      </c>
      <c r="Q70" s="6" t="s">
        <v>395</v>
      </c>
      <c r="R70" s="6" t="s">
        <v>395</v>
      </c>
      <c r="S70" s="38">
        <v>551000000</v>
      </c>
      <c r="T70" s="26">
        <v>100</v>
      </c>
    </row>
    <row r="71" spans="1:20" s="39" customFormat="1" ht="56.25" customHeight="1">
      <c r="B71" s="6">
        <v>55</v>
      </c>
      <c r="C71" s="16" t="s">
        <v>714</v>
      </c>
      <c r="D71" s="37" t="s">
        <v>715</v>
      </c>
      <c r="E71" s="6" t="s">
        <v>884</v>
      </c>
      <c r="F71" s="70" t="s">
        <v>885</v>
      </c>
      <c r="G71" s="70" t="s">
        <v>885</v>
      </c>
      <c r="H71" s="70" t="s">
        <v>886</v>
      </c>
      <c r="I71" s="70" t="s">
        <v>886</v>
      </c>
      <c r="J71" s="70" t="s">
        <v>983</v>
      </c>
      <c r="K71" s="70" t="s">
        <v>151</v>
      </c>
      <c r="L71" s="70" t="s">
        <v>595</v>
      </c>
      <c r="M71" s="38" t="s">
        <v>648</v>
      </c>
      <c r="N71" s="26">
        <v>1</v>
      </c>
      <c r="O71" s="57">
        <v>45089</v>
      </c>
      <c r="P71" s="62">
        <f t="shared" si="0"/>
        <v>45089</v>
      </c>
      <c r="Q71" s="6" t="s">
        <v>395</v>
      </c>
      <c r="R71" s="6" t="s">
        <v>395</v>
      </c>
      <c r="S71" s="38">
        <v>551000000</v>
      </c>
      <c r="T71" s="26">
        <v>100</v>
      </c>
    </row>
    <row r="72" spans="1:20" s="39" customFormat="1" ht="87" customHeight="1">
      <c r="B72" s="6">
        <v>56</v>
      </c>
      <c r="C72" s="36" t="s">
        <v>714</v>
      </c>
      <c r="D72" s="37" t="s">
        <v>715</v>
      </c>
      <c r="E72" s="6" t="s">
        <v>887</v>
      </c>
      <c r="F72" s="70" t="s">
        <v>170</v>
      </c>
      <c r="G72" s="70" t="s">
        <v>170</v>
      </c>
      <c r="H72" s="70" t="s">
        <v>889</v>
      </c>
      <c r="I72" s="70" t="s">
        <v>890</v>
      </c>
      <c r="J72" s="70" t="s">
        <v>2130</v>
      </c>
      <c r="K72" s="70" t="s">
        <v>1379</v>
      </c>
      <c r="L72" s="70" t="s">
        <v>595</v>
      </c>
      <c r="M72" s="38" t="s">
        <v>648</v>
      </c>
      <c r="N72" s="26">
        <v>10</v>
      </c>
      <c r="O72" s="57">
        <v>49107</v>
      </c>
      <c r="P72" s="62">
        <f t="shared" si="0"/>
        <v>491070</v>
      </c>
      <c r="Q72" s="6" t="s">
        <v>616</v>
      </c>
      <c r="R72" s="6" t="s">
        <v>505</v>
      </c>
      <c r="S72" s="38">
        <v>551000000</v>
      </c>
      <c r="T72" s="26">
        <v>30</v>
      </c>
    </row>
    <row r="73" spans="1:20" ht="178.5" outlineLevel="1">
      <c r="B73" s="6">
        <v>57</v>
      </c>
      <c r="C73" s="16" t="s">
        <v>714</v>
      </c>
      <c r="D73" s="37" t="s">
        <v>715</v>
      </c>
      <c r="E73" s="12" t="s">
        <v>2131</v>
      </c>
      <c r="F73" s="70" t="s">
        <v>2132</v>
      </c>
      <c r="G73" s="70" t="s">
        <v>1363</v>
      </c>
      <c r="H73" s="70" t="s">
        <v>1362</v>
      </c>
      <c r="I73" s="70" t="s">
        <v>1361</v>
      </c>
      <c r="J73" s="70" t="s">
        <v>2133</v>
      </c>
      <c r="K73" s="70" t="s">
        <v>152</v>
      </c>
      <c r="L73" s="70" t="s">
        <v>595</v>
      </c>
      <c r="M73" s="38" t="s">
        <v>648</v>
      </c>
      <c r="N73" s="26">
        <v>1</v>
      </c>
      <c r="O73" s="57">
        <v>319464</v>
      </c>
      <c r="P73" s="62">
        <f t="shared" si="0"/>
        <v>319464</v>
      </c>
      <c r="Q73" s="6" t="s">
        <v>519</v>
      </c>
      <c r="R73" s="6" t="s">
        <v>770</v>
      </c>
      <c r="S73" s="38" t="s">
        <v>2032</v>
      </c>
      <c r="T73" s="6">
        <v>30</v>
      </c>
    </row>
    <row r="74" spans="1:20" ht="178.5" outlineLevel="1">
      <c r="B74" s="6">
        <v>58</v>
      </c>
      <c r="C74" s="16" t="s">
        <v>714</v>
      </c>
      <c r="D74" s="37" t="s">
        <v>715</v>
      </c>
      <c r="E74" s="12" t="s">
        <v>2131</v>
      </c>
      <c r="F74" s="70" t="s">
        <v>2132</v>
      </c>
      <c r="G74" s="70" t="s">
        <v>1363</v>
      </c>
      <c r="H74" s="70" t="s">
        <v>1362</v>
      </c>
      <c r="I74" s="70" t="s">
        <v>1361</v>
      </c>
      <c r="J74" s="70" t="s">
        <v>2133</v>
      </c>
      <c r="K74" s="70" t="s">
        <v>153</v>
      </c>
      <c r="L74" s="70" t="s">
        <v>595</v>
      </c>
      <c r="M74" s="38" t="s">
        <v>648</v>
      </c>
      <c r="N74" s="26">
        <v>1</v>
      </c>
      <c r="O74" s="57">
        <v>152406</v>
      </c>
      <c r="P74" s="62">
        <f t="shared" si="0"/>
        <v>152406</v>
      </c>
      <c r="Q74" s="6" t="s">
        <v>519</v>
      </c>
      <c r="R74" s="6" t="s">
        <v>770</v>
      </c>
      <c r="S74" s="38" t="s">
        <v>2032</v>
      </c>
      <c r="T74" s="6">
        <v>30</v>
      </c>
    </row>
    <row r="75" spans="1:20" ht="63.75" outlineLevel="1">
      <c r="B75" s="6">
        <v>59</v>
      </c>
      <c r="C75" s="16" t="s">
        <v>714</v>
      </c>
      <c r="D75" s="37" t="s">
        <v>715</v>
      </c>
      <c r="E75" s="16" t="s">
        <v>720</v>
      </c>
      <c r="F75" s="70" t="s">
        <v>878</v>
      </c>
      <c r="G75" s="70" t="s">
        <v>878</v>
      </c>
      <c r="H75" s="70" t="s">
        <v>802</v>
      </c>
      <c r="I75" s="70" t="s">
        <v>768</v>
      </c>
      <c r="J75" s="70" t="s">
        <v>2095</v>
      </c>
      <c r="K75" s="70" t="s">
        <v>154</v>
      </c>
      <c r="L75" s="70" t="s">
        <v>595</v>
      </c>
      <c r="M75" s="38" t="s">
        <v>648</v>
      </c>
      <c r="N75" s="26">
        <v>3</v>
      </c>
      <c r="O75" s="57">
        <v>56227</v>
      </c>
      <c r="P75" s="62">
        <f t="shared" si="0"/>
        <v>168681</v>
      </c>
      <c r="Q75" s="6" t="s">
        <v>616</v>
      </c>
      <c r="R75" s="6" t="s">
        <v>770</v>
      </c>
      <c r="S75" s="38" t="s">
        <v>2032</v>
      </c>
      <c r="T75" s="6">
        <v>30</v>
      </c>
    </row>
    <row r="76" spans="1:20" ht="102" outlineLevel="1">
      <c r="B76" s="6">
        <v>60</v>
      </c>
      <c r="C76" s="16" t="s">
        <v>714</v>
      </c>
      <c r="D76" s="37" t="s">
        <v>715</v>
      </c>
      <c r="E76" s="16" t="s">
        <v>720</v>
      </c>
      <c r="F76" s="70" t="s">
        <v>878</v>
      </c>
      <c r="G76" s="70" t="s">
        <v>878</v>
      </c>
      <c r="H76" s="70" t="s">
        <v>881</v>
      </c>
      <c r="I76" s="70" t="s">
        <v>722</v>
      </c>
      <c r="J76" s="70" t="s">
        <v>2096</v>
      </c>
      <c r="K76" s="70" t="s">
        <v>155</v>
      </c>
      <c r="L76" s="70" t="s">
        <v>595</v>
      </c>
      <c r="M76" s="38" t="s">
        <v>648</v>
      </c>
      <c r="N76" s="26">
        <v>1</v>
      </c>
      <c r="O76" s="57">
        <v>41523</v>
      </c>
      <c r="P76" s="62">
        <f t="shared" si="0"/>
        <v>41523</v>
      </c>
      <c r="Q76" s="6" t="s">
        <v>519</v>
      </c>
      <c r="R76" s="6" t="s">
        <v>770</v>
      </c>
      <c r="S76" s="38" t="s">
        <v>2032</v>
      </c>
      <c r="T76" s="6">
        <v>30</v>
      </c>
    </row>
    <row r="77" spans="1:20" ht="76.5" outlineLevel="1">
      <c r="B77" s="6">
        <v>61</v>
      </c>
      <c r="C77" s="36" t="s">
        <v>714</v>
      </c>
      <c r="D77" s="37" t="s">
        <v>715</v>
      </c>
      <c r="E77" s="16" t="s">
        <v>733</v>
      </c>
      <c r="F77" s="70" t="s">
        <v>734</v>
      </c>
      <c r="G77" s="70" t="s">
        <v>735</v>
      </c>
      <c r="H77" s="70" t="s">
        <v>877</v>
      </c>
      <c r="I77" s="70" t="s">
        <v>737</v>
      </c>
      <c r="J77" s="70" t="s">
        <v>2136</v>
      </c>
      <c r="K77" s="70" t="s">
        <v>1364</v>
      </c>
      <c r="L77" s="70" t="s">
        <v>595</v>
      </c>
      <c r="M77" s="38" t="s">
        <v>648</v>
      </c>
      <c r="N77" s="26">
        <v>1</v>
      </c>
      <c r="O77" s="57">
        <v>46647</v>
      </c>
      <c r="P77" s="62">
        <f t="shared" si="0"/>
        <v>46647</v>
      </c>
      <c r="Q77" s="6" t="s">
        <v>519</v>
      </c>
      <c r="R77" s="6" t="s">
        <v>770</v>
      </c>
      <c r="S77" s="38" t="s">
        <v>2032</v>
      </c>
      <c r="T77" s="6">
        <v>30</v>
      </c>
    </row>
    <row r="78" spans="1:20" ht="51" outlineLevel="1">
      <c r="B78" s="6">
        <v>62</v>
      </c>
      <c r="C78" s="16" t="s">
        <v>714</v>
      </c>
      <c r="D78" s="37" t="s">
        <v>715</v>
      </c>
      <c r="E78" s="16" t="s">
        <v>1365</v>
      </c>
      <c r="F78" s="70" t="s">
        <v>2137</v>
      </c>
      <c r="G78" s="70" t="s">
        <v>2138</v>
      </c>
      <c r="H78" s="70" t="s">
        <v>2139</v>
      </c>
      <c r="I78" s="70" t="s">
        <v>2140</v>
      </c>
      <c r="J78" s="70" t="s">
        <v>2141</v>
      </c>
      <c r="K78" s="70" t="s">
        <v>156</v>
      </c>
      <c r="L78" s="70" t="s">
        <v>595</v>
      </c>
      <c r="M78" s="38" t="s">
        <v>648</v>
      </c>
      <c r="N78" s="26">
        <v>1</v>
      </c>
      <c r="O78" s="57">
        <v>177287</v>
      </c>
      <c r="P78" s="62">
        <f t="shared" si="0"/>
        <v>177287</v>
      </c>
      <c r="Q78" s="6" t="s">
        <v>519</v>
      </c>
      <c r="R78" s="6" t="s">
        <v>770</v>
      </c>
      <c r="S78" s="38" t="s">
        <v>2032</v>
      </c>
      <c r="T78" s="6">
        <v>30</v>
      </c>
    </row>
    <row r="79" spans="1:20" ht="51" outlineLevel="1">
      <c r="B79" s="6">
        <v>63</v>
      </c>
      <c r="C79" s="36" t="s">
        <v>714</v>
      </c>
      <c r="D79" s="37" t="s">
        <v>715</v>
      </c>
      <c r="E79" s="6" t="s">
        <v>1380</v>
      </c>
      <c r="F79" s="70" t="s">
        <v>157</v>
      </c>
      <c r="G79" s="70" t="s">
        <v>157</v>
      </c>
      <c r="H79" s="70" t="s">
        <v>2142</v>
      </c>
      <c r="I79" s="70" t="s">
        <v>2143</v>
      </c>
      <c r="J79" s="70" t="s">
        <v>157</v>
      </c>
      <c r="K79" s="70" t="s">
        <v>157</v>
      </c>
      <c r="L79" s="70" t="s">
        <v>595</v>
      </c>
      <c r="M79" s="38" t="s">
        <v>648</v>
      </c>
      <c r="N79" s="26">
        <v>1</v>
      </c>
      <c r="O79" s="57">
        <v>49234</v>
      </c>
      <c r="P79" s="62">
        <f t="shared" si="0"/>
        <v>49234</v>
      </c>
      <c r="Q79" s="6" t="s">
        <v>592</v>
      </c>
      <c r="R79" s="6" t="s">
        <v>770</v>
      </c>
      <c r="S79" s="38" t="s">
        <v>2032</v>
      </c>
      <c r="T79" s="6">
        <v>30</v>
      </c>
    </row>
    <row r="80" spans="1:20" ht="51" outlineLevel="1">
      <c r="B80" s="6">
        <v>64</v>
      </c>
      <c r="C80" s="16" t="s">
        <v>714</v>
      </c>
      <c r="D80" s="37" t="s">
        <v>715</v>
      </c>
      <c r="E80" s="6" t="s">
        <v>2144</v>
      </c>
      <c r="F80" s="70" t="s">
        <v>2147</v>
      </c>
      <c r="G80" s="70" t="s">
        <v>2145</v>
      </c>
      <c r="H80" s="70" t="s">
        <v>2148</v>
      </c>
      <c r="I80" s="70" t="s">
        <v>2146</v>
      </c>
      <c r="J80" s="70" t="s">
        <v>2149</v>
      </c>
      <c r="K80" s="70" t="s">
        <v>158</v>
      </c>
      <c r="L80" s="70" t="s">
        <v>595</v>
      </c>
      <c r="M80" s="38" t="s">
        <v>648</v>
      </c>
      <c r="N80" s="26">
        <v>1</v>
      </c>
      <c r="O80" s="57">
        <v>43005</v>
      </c>
      <c r="P80" s="62">
        <f t="shared" si="0"/>
        <v>43005</v>
      </c>
      <c r="Q80" s="6" t="s">
        <v>702</v>
      </c>
      <c r="R80" s="6" t="s">
        <v>770</v>
      </c>
      <c r="S80" s="38" t="s">
        <v>2032</v>
      </c>
      <c r="T80" s="6">
        <v>30</v>
      </c>
    </row>
    <row r="81" spans="2:20" ht="51" outlineLevel="1">
      <c r="B81" s="6">
        <v>65</v>
      </c>
      <c r="C81" s="16" t="s">
        <v>714</v>
      </c>
      <c r="D81" s="37" t="s">
        <v>715</v>
      </c>
      <c r="E81" s="16" t="s">
        <v>1366</v>
      </c>
      <c r="F81" s="70" t="s">
        <v>2088</v>
      </c>
      <c r="G81" s="70" t="s">
        <v>1057</v>
      </c>
      <c r="H81" s="70" t="s">
        <v>2092</v>
      </c>
      <c r="I81" s="70" t="s">
        <v>1367</v>
      </c>
      <c r="J81" s="70" t="s">
        <v>2088</v>
      </c>
      <c r="K81" s="70" t="s">
        <v>159</v>
      </c>
      <c r="L81" s="70" t="s">
        <v>595</v>
      </c>
      <c r="M81" s="38" t="s">
        <v>648</v>
      </c>
      <c r="N81" s="26">
        <v>1</v>
      </c>
      <c r="O81" s="57">
        <v>77666</v>
      </c>
      <c r="P81" s="62">
        <f t="shared" ref="P81:P144" si="1">N81*O81</f>
        <v>77666</v>
      </c>
      <c r="Q81" s="6" t="s">
        <v>519</v>
      </c>
      <c r="R81" s="6" t="s">
        <v>770</v>
      </c>
      <c r="S81" s="38" t="s">
        <v>2032</v>
      </c>
      <c r="T81" s="6">
        <v>30</v>
      </c>
    </row>
    <row r="82" spans="2:20" ht="63.75" customHeight="1" outlineLevel="1">
      <c r="B82" s="6">
        <v>66</v>
      </c>
      <c r="C82" s="36" t="s">
        <v>714</v>
      </c>
      <c r="D82" s="37" t="s">
        <v>715</v>
      </c>
      <c r="E82" s="12" t="s">
        <v>716</v>
      </c>
      <c r="F82" s="70" t="s">
        <v>734</v>
      </c>
      <c r="G82" s="70" t="s">
        <v>735</v>
      </c>
      <c r="H82" s="70" t="s">
        <v>717</v>
      </c>
      <c r="I82" s="70" t="s">
        <v>718</v>
      </c>
      <c r="J82" s="70" t="s">
        <v>2150</v>
      </c>
      <c r="K82" s="70" t="s">
        <v>349</v>
      </c>
      <c r="L82" s="70" t="s">
        <v>595</v>
      </c>
      <c r="M82" s="38" t="s">
        <v>648</v>
      </c>
      <c r="N82" s="26">
        <v>1</v>
      </c>
      <c r="O82" s="57">
        <v>101295</v>
      </c>
      <c r="P82" s="62">
        <f t="shared" si="1"/>
        <v>101295</v>
      </c>
      <c r="Q82" s="6" t="s">
        <v>395</v>
      </c>
      <c r="R82" s="6" t="s">
        <v>519</v>
      </c>
      <c r="S82" s="38" t="s">
        <v>719</v>
      </c>
      <c r="T82" s="6">
        <v>50</v>
      </c>
    </row>
    <row r="83" spans="2:20" ht="69.75" customHeight="1" outlineLevel="1">
      <c r="B83" s="6">
        <v>67</v>
      </c>
      <c r="C83" s="36" t="s">
        <v>714</v>
      </c>
      <c r="D83" s="37" t="s">
        <v>715</v>
      </c>
      <c r="E83" s="12" t="s">
        <v>720</v>
      </c>
      <c r="F83" s="70" t="s">
        <v>878</v>
      </c>
      <c r="G83" s="70" t="s">
        <v>878</v>
      </c>
      <c r="H83" s="70" t="s">
        <v>721</v>
      </c>
      <c r="I83" s="70" t="s">
        <v>722</v>
      </c>
      <c r="J83" s="70" t="s">
        <v>2097</v>
      </c>
      <c r="K83" s="70" t="s">
        <v>160</v>
      </c>
      <c r="L83" s="70" t="s">
        <v>595</v>
      </c>
      <c r="M83" s="38" t="s">
        <v>648</v>
      </c>
      <c r="N83" s="26">
        <v>6</v>
      </c>
      <c r="O83" s="57">
        <v>33036</v>
      </c>
      <c r="P83" s="62">
        <f t="shared" si="1"/>
        <v>198216</v>
      </c>
      <c r="Q83" s="6" t="s">
        <v>395</v>
      </c>
      <c r="R83" s="6" t="s">
        <v>519</v>
      </c>
      <c r="S83" s="38" t="s">
        <v>719</v>
      </c>
      <c r="T83" s="6">
        <v>50</v>
      </c>
    </row>
    <row r="84" spans="2:20" ht="114.75" outlineLevel="1">
      <c r="B84" s="6">
        <v>68</v>
      </c>
      <c r="C84" s="36" t="s">
        <v>714</v>
      </c>
      <c r="D84" s="37" t="s">
        <v>715</v>
      </c>
      <c r="E84" s="12" t="s">
        <v>723</v>
      </c>
      <c r="F84" s="70" t="s">
        <v>2098</v>
      </c>
      <c r="G84" s="70" t="s">
        <v>161</v>
      </c>
      <c r="H84" s="70" t="s">
        <v>725</v>
      </c>
      <c r="I84" s="70" t="s">
        <v>726</v>
      </c>
      <c r="J84" s="70" t="s">
        <v>2098</v>
      </c>
      <c r="K84" s="70" t="s">
        <v>161</v>
      </c>
      <c r="L84" s="70" t="s">
        <v>595</v>
      </c>
      <c r="M84" s="38" t="s">
        <v>648</v>
      </c>
      <c r="N84" s="26">
        <v>6</v>
      </c>
      <c r="O84" s="57">
        <v>43750</v>
      </c>
      <c r="P84" s="62">
        <f t="shared" si="1"/>
        <v>262500</v>
      </c>
      <c r="Q84" s="6" t="s">
        <v>395</v>
      </c>
      <c r="R84" s="6" t="s">
        <v>519</v>
      </c>
      <c r="S84" s="38" t="s">
        <v>719</v>
      </c>
      <c r="T84" s="6">
        <v>50</v>
      </c>
    </row>
    <row r="85" spans="2:20" ht="89.25" outlineLevel="1">
      <c r="B85" s="6">
        <v>69</v>
      </c>
      <c r="C85" s="36" t="s">
        <v>714</v>
      </c>
      <c r="D85" s="37" t="s">
        <v>715</v>
      </c>
      <c r="E85" s="12" t="s">
        <v>727</v>
      </c>
      <c r="F85" s="70" t="s">
        <v>724</v>
      </c>
      <c r="G85" s="70" t="s">
        <v>724</v>
      </c>
      <c r="H85" s="70" t="s">
        <v>728</v>
      </c>
      <c r="I85" s="70" t="s">
        <v>729</v>
      </c>
      <c r="J85" s="70" t="s">
        <v>2093</v>
      </c>
      <c r="K85" s="70" t="s">
        <v>125</v>
      </c>
      <c r="L85" s="70" t="s">
        <v>595</v>
      </c>
      <c r="M85" s="38" t="s">
        <v>648</v>
      </c>
      <c r="N85" s="26">
        <v>4</v>
      </c>
      <c r="O85" s="57">
        <v>26786</v>
      </c>
      <c r="P85" s="62">
        <f t="shared" si="1"/>
        <v>107144</v>
      </c>
      <c r="Q85" s="6" t="s">
        <v>395</v>
      </c>
      <c r="R85" s="6" t="s">
        <v>519</v>
      </c>
      <c r="S85" s="38" t="s">
        <v>719</v>
      </c>
      <c r="T85" s="6">
        <v>50</v>
      </c>
    </row>
    <row r="86" spans="2:20" ht="41.25" customHeight="1" outlineLevel="1">
      <c r="B86" s="6">
        <v>70</v>
      </c>
      <c r="C86" s="36" t="s">
        <v>714</v>
      </c>
      <c r="D86" s="37" t="s">
        <v>715</v>
      </c>
      <c r="E86" s="16" t="s">
        <v>730</v>
      </c>
      <c r="F86" s="70" t="s">
        <v>724</v>
      </c>
      <c r="G86" s="70" t="s">
        <v>724</v>
      </c>
      <c r="H86" s="70" t="s">
        <v>731</v>
      </c>
      <c r="I86" s="70" t="s">
        <v>732</v>
      </c>
      <c r="J86" s="70" t="s">
        <v>2099</v>
      </c>
      <c r="K86" s="70" t="s">
        <v>1</v>
      </c>
      <c r="L86" s="70" t="s">
        <v>595</v>
      </c>
      <c r="M86" s="38" t="s">
        <v>648</v>
      </c>
      <c r="N86" s="26">
        <v>4</v>
      </c>
      <c r="O86" s="57">
        <v>49107</v>
      </c>
      <c r="P86" s="62">
        <f t="shared" si="1"/>
        <v>196428</v>
      </c>
      <c r="Q86" s="6" t="s">
        <v>395</v>
      </c>
      <c r="R86" s="6" t="s">
        <v>519</v>
      </c>
      <c r="S86" s="38" t="s">
        <v>719</v>
      </c>
      <c r="T86" s="6">
        <v>50</v>
      </c>
    </row>
    <row r="87" spans="2:20" ht="54.75" customHeight="1" outlineLevel="1">
      <c r="B87" s="6">
        <v>71</v>
      </c>
      <c r="C87" s="36" t="s">
        <v>714</v>
      </c>
      <c r="D87" s="37" t="s">
        <v>715</v>
      </c>
      <c r="E87" s="12" t="s">
        <v>733</v>
      </c>
      <c r="F87" s="70" t="s">
        <v>734</v>
      </c>
      <c r="G87" s="70" t="s">
        <v>735</v>
      </c>
      <c r="H87" s="70" t="s">
        <v>736</v>
      </c>
      <c r="I87" s="70" t="s">
        <v>737</v>
      </c>
      <c r="J87" s="70" t="s">
        <v>2151</v>
      </c>
      <c r="K87" s="70" t="s">
        <v>162</v>
      </c>
      <c r="L87" s="70" t="s">
        <v>595</v>
      </c>
      <c r="M87" s="38" t="s">
        <v>648</v>
      </c>
      <c r="N87" s="26">
        <v>4</v>
      </c>
      <c r="O87" s="57">
        <v>22321</v>
      </c>
      <c r="P87" s="62">
        <f t="shared" si="1"/>
        <v>89284</v>
      </c>
      <c r="Q87" s="6" t="s">
        <v>395</v>
      </c>
      <c r="R87" s="6" t="s">
        <v>519</v>
      </c>
      <c r="S87" s="38" t="s">
        <v>719</v>
      </c>
      <c r="T87" s="6">
        <v>50</v>
      </c>
    </row>
    <row r="88" spans="2:20" ht="48.75" customHeight="1" outlineLevel="1">
      <c r="B88" s="6">
        <v>72</v>
      </c>
      <c r="C88" s="36" t="s">
        <v>714</v>
      </c>
      <c r="D88" s="37" t="s">
        <v>715</v>
      </c>
      <c r="E88" s="12" t="s">
        <v>738</v>
      </c>
      <c r="F88" s="70" t="s">
        <v>2153</v>
      </c>
      <c r="G88" s="70" t="s">
        <v>2152</v>
      </c>
      <c r="H88" s="70" t="s">
        <v>739</v>
      </c>
      <c r="I88" s="70" t="s">
        <v>740</v>
      </c>
      <c r="J88" s="70" t="s">
        <v>2153</v>
      </c>
      <c r="K88" s="70" t="s">
        <v>2152</v>
      </c>
      <c r="L88" s="70" t="s">
        <v>595</v>
      </c>
      <c r="M88" s="38" t="s">
        <v>648</v>
      </c>
      <c r="N88" s="26">
        <v>4</v>
      </c>
      <c r="O88" s="57">
        <v>25000</v>
      </c>
      <c r="P88" s="62">
        <f t="shared" si="1"/>
        <v>100000</v>
      </c>
      <c r="Q88" s="6" t="s">
        <v>395</v>
      </c>
      <c r="R88" s="6" t="s">
        <v>519</v>
      </c>
      <c r="S88" s="38" t="s">
        <v>719</v>
      </c>
      <c r="T88" s="6">
        <v>50</v>
      </c>
    </row>
    <row r="89" spans="2:20" ht="25.5" outlineLevel="1">
      <c r="B89" s="6">
        <v>73</v>
      </c>
      <c r="C89" s="36" t="s">
        <v>714</v>
      </c>
      <c r="D89" s="37" t="s">
        <v>715</v>
      </c>
      <c r="E89" s="12" t="s">
        <v>741</v>
      </c>
      <c r="F89" s="70" t="s">
        <v>734</v>
      </c>
      <c r="G89" s="70" t="s">
        <v>735</v>
      </c>
      <c r="H89" s="70" t="s">
        <v>742</v>
      </c>
      <c r="I89" s="70" t="s">
        <v>743</v>
      </c>
      <c r="J89" s="70" t="s">
        <v>2154</v>
      </c>
      <c r="K89" s="70" t="s">
        <v>163</v>
      </c>
      <c r="L89" s="70" t="s">
        <v>595</v>
      </c>
      <c r="M89" s="38" t="s">
        <v>648</v>
      </c>
      <c r="N89" s="26">
        <v>1</v>
      </c>
      <c r="O89" s="57">
        <v>13393</v>
      </c>
      <c r="P89" s="62">
        <f t="shared" si="1"/>
        <v>13393</v>
      </c>
      <c r="Q89" s="6" t="s">
        <v>519</v>
      </c>
      <c r="R89" s="6" t="s">
        <v>616</v>
      </c>
      <c r="S89" s="38" t="s">
        <v>719</v>
      </c>
      <c r="T89" s="6">
        <v>50</v>
      </c>
    </row>
    <row r="90" spans="2:20" ht="44.25" customHeight="1" outlineLevel="1">
      <c r="B90" s="6">
        <v>74</v>
      </c>
      <c r="C90" s="36" t="s">
        <v>714</v>
      </c>
      <c r="D90" s="37" t="s">
        <v>715</v>
      </c>
      <c r="E90" s="12" t="s">
        <v>744</v>
      </c>
      <c r="F90" s="70" t="s">
        <v>745</v>
      </c>
      <c r="G90" s="70" t="s">
        <v>164</v>
      </c>
      <c r="H90" s="70" t="s">
        <v>746</v>
      </c>
      <c r="I90" s="70" t="s">
        <v>747</v>
      </c>
      <c r="J90" s="70" t="s">
        <v>745</v>
      </c>
      <c r="K90" s="70" t="s">
        <v>164</v>
      </c>
      <c r="L90" s="70" t="s">
        <v>595</v>
      </c>
      <c r="M90" s="38" t="s">
        <v>648</v>
      </c>
      <c r="N90" s="26">
        <v>3</v>
      </c>
      <c r="O90" s="57">
        <v>3571</v>
      </c>
      <c r="P90" s="62">
        <f t="shared" si="1"/>
        <v>10713</v>
      </c>
      <c r="Q90" s="6" t="s">
        <v>519</v>
      </c>
      <c r="R90" s="6" t="s">
        <v>616</v>
      </c>
      <c r="S90" s="38" t="s">
        <v>719</v>
      </c>
      <c r="T90" s="6">
        <v>50</v>
      </c>
    </row>
    <row r="91" spans="2:20" ht="51.75" customHeight="1" outlineLevel="1">
      <c r="B91" s="6">
        <v>75</v>
      </c>
      <c r="C91" s="36" t="s">
        <v>714</v>
      </c>
      <c r="D91" s="37" t="s">
        <v>715</v>
      </c>
      <c r="E91" s="16" t="s">
        <v>748</v>
      </c>
      <c r="F91" s="70" t="s">
        <v>749</v>
      </c>
      <c r="G91" s="70" t="s">
        <v>109</v>
      </c>
      <c r="H91" s="70" t="s">
        <v>750</v>
      </c>
      <c r="I91" s="70" t="s">
        <v>751</v>
      </c>
      <c r="J91" s="70" t="s">
        <v>2155</v>
      </c>
      <c r="K91" s="70" t="s">
        <v>165</v>
      </c>
      <c r="L91" s="70" t="s">
        <v>595</v>
      </c>
      <c r="M91" s="38" t="s">
        <v>648</v>
      </c>
      <c r="N91" s="26">
        <v>10</v>
      </c>
      <c r="O91" s="57">
        <v>3571</v>
      </c>
      <c r="P91" s="62">
        <f t="shared" si="1"/>
        <v>35710</v>
      </c>
      <c r="Q91" s="6" t="s">
        <v>395</v>
      </c>
      <c r="R91" s="6" t="s">
        <v>519</v>
      </c>
      <c r="S91" s="38" t="s">
        <v>719</v>
      </c>
      <c r="T91" s="6">
        <v>50</v>
      </c>
    </row>
    <row r="92" spans="2:20" ht="60.75" customHeight="1" outlineLevel="1">
      <c r="B92" s="6">
        <v>76</v>
      </c>
      <c r="C92" s="36" t="s">
        <v>714</v>
      </c>
      <c r="D92" s="37" t="s">
        <v>715</v>
      </c>
      <c r="E92" s="11" t="s">
        <v>752</v>
      </c>
      <c r="F92" s="70" t="s">
        <v>753</v>
      </c>
      <c r="G92" s="70" t="s">
        <v>753</v>
      </c>
      <c r="H92" s="70" t="s">
        <v>754</v>
      </c>
      <c r="I92" s="70" t="s">
        <v>755</v>
      </c>
      <c r="J92" s="70" t="s">
        <v>2156</v>
      </c>
      <c r="K92" s="70" t="s">
        <v>166</v>
      </c>
      <c r="L92" s="70" t="s">
        <v>595</v>
      </c>
      <c r="M92" s="38" t="s">
        <v>648</v>
      </c>
      <c r="N92" s="26">
        <v>13</v>
      </c>
      <c r="O92" s="57">
        <v>10714</v>
      </c>
      <c r="P92" s="62">
        <f t="shared" si="1"/>
        <v>139282</v>
      </c>
      <c r="Q92" s="6" t="s">
        <v>395</v>
      </c>
      <c r="R92" s="6" t="s">
        <v>519</v>
      </c>
      <c r="S92" s="38" t="s">
        <v>719</v>
      </c>
      <c r="T92" s="6">
        <v>50</v>
      </c>
    </row>
    <row r="93" spans="2:20" ht="69.75" customHeight="1" outlineLevel="1">
      <c r="B93" s="6">
        <v>77</v>
      </c>
      <c r="C93" s="36" t="s">
        <v>714</v>
      </c>
      <c r="D93" s="37" t="s">
        <v>715</v>
      </c>
      <c r="E93" s="11" t="s">
        <v>752</v>
      </c>
      <c r="F93" s="70" t="s">
        <v>753</v>
      </c>
      <c r="G93" s="70" t="s">
        <v>753</v>
      </c>
      <c r="H93" s="70" t="s">
        <v>756</v>
      </c>
      <c r="I93" s="70" t="s">
        <v>757</v>
      </c>
      <c r="J93" s="70" t="s">
        <v>2157</v>
      </c>
      <c r="K93" s="70" t="s">
        <v>167</v>
      </c>
      <c r="L93" s="70" t="s">
        <v>595</v>
      </c>
      <c r="M93" s="38" t="s">
        <v>648</v>
      </c>
      <c r="N93" s="26">
        <v>15</v>
      </c>
      <c r="O93" s="57">
        <v>17857</v>
      </c>
      <c r="P93" s="62">
        <f t="shared" si="1"/>
        <v>267855</v>
      </c>
      <c r="Q93" s="6" t="s">
        <v>519</v>
      </c>
      <c r="R93" s="6" t="s">
        <v>616</v>
      </c>
      <c r="S93" s="38" t="s">
        <v>719</v>
      </c>
      <c r="T93" s="6">
        <v>50</v>
      </c>
    </row>
    <row r="94" spans="2:20" ht="42.75" customHeight="1" outlineLevel="1">
      <c r="B94" s="6">
        <v>78</v>
      </c>
      <c r="C94" s="36" t="s">
        <v>714</v>
      </c>
      <c r="D94" s="37" t="s">
        <v>715</v>
      </c>
      <c r="E94" s="40" t="s">
        <v>758</v>
      </c>
      <c r="F94" s="70" t="s">
        <v>759</v>
      </c>
      <c r="G94" s="70" t="s">
        <v>759</v>
      </c>
      <c r="H94" s="70" t="s">
        <v>760</v>
      </c>
      <c r="I94" s="70" t="s">
        <v>761</v>
      </c>
      <c r="J94" s="70" t="s">
        <v>2158</v>
      </c>
      <c r="K94" s="70" t="s">
        <v>168</v>
      </c>
      <c r="L94" s="70" t="s">
        <v>595</v>
      </c>
      <c r="M94" s="38" t="s">
        <v>648</v>
      </c>
      <c r="N94" s="26">
        <v>2</v>
      </c>
      <c r="O94" s="57">
        <v>45179</v>
      </c>
      <c r="P94" s="62">
        <f t="shared" si="1"/>
        <v>90358</v>
      </c>
      <c r="Q94" s="6" t="s">
        <v>519</v>
      </c>
      <c r="R94" s="6" t="s">
        <v>616</v>
      </c>
      <c r="S94" s="38" t="s">
        <v>719</v>
      </c>
      <c r="T94" s="6">
        <v>50</v>
      </c>
    </row>
    <row r="95" spans="2:20" ht="63.75" outlineLevel="1">
      <c r="B95" s="6">
        <v>79</v>
      </c>
      <c r="C95" s="36" t="s">
        <v>714</v>
      </c>
      <c r="D95" s="37" t="s">
        <v>715</v>
      </c>
      <c r="E95" s="11" t="s">
        <v>762</v>
      </c>
      <c r="F95" s="70" t="s">
        <v>170</v>
      </c>
      <c r="G95" s="70" t="s">
        <v>170</v>
      </c>
      <c r="H95" s="70" t="s">
        <v>763</v>
      </c>
      <c r="I95" s="70" t="s">
        <v>764</v>
      </c>
      <c r="J95" s="70" t="s">
        <v>2159</v>
      </c>
      <c r="K95" s="70" t="s">
        <v>169</v>
      </c>
      <c r="L95" s="70" t="s">
        <v>595</v>
      </c>
      <c r="M95" s="38" t="s">
        <v>648</v>
      </c>
      <c r="N95" s="26">
        <v>1</v>
      </c>
      <c r="O95" s="57">
        <v>204464</v>
      </c>
      <c r="P95" s="62">
        <f t="shared" si="1"/>
        <v>204464</v>
      </c>
      <c r="Q95" s="6" t="s">
        <v>505</v>
      </c>
      <c r="R95" s="6" t="s">
        <v>506</v>
      </c>
      <c r="S95" s="38" t="s">
        <v>719</v>
      </c>
      <c r="T95" s="6">
        <v>50</v>
      </c>
    </row>
    <row r="96" spans="2:20" ht="63.75" outlineLevel="1">
      <c r="B96" s="6">
        <v>80</v>
      </c>
      <c r="C96" s="36" t="s">
        <v>714</v>
      </c>
      <c r="D96" s="37" t="s">
        <v>715</v>
      </c>
      <c r="E96" s="11" t="s">
        <v>762</v>
      </c>
      <c r="F96" s="70" t="s">
        <v>170</v>
      </c>
      <c r="G96" s="70" t="s">
        <v>170</v>
      </c>
      <c r="H96" s="70" t="s">
        <v>765</v>
      </c>
      <c r="I96" s="70" t="s">
        <v>766</v>
      </c>
      <c r="J96" s="70" t="s">
        <v>170</v>
      </c>
      <c r="K96" s="70" t="s">
        <v>170</v>
      </c>
      <c r="L96" s="70" t="s">
        <v>595</v>
      </c>
      <c r="M96" s="38" t="s">
        <v>648</v>
      </c>
      <c r="N96" s="26">
        <v>5</v>
      </c>
      <c r="O96" s="57">
        <v>62411</v>
      </c>
      <c r="P96" s="62">
        <f t="shared" si="1"/>
        <v>312055</v>
      </c>
      <c r="Q96" s="6" t="s">
        <v>505</v>
      </c>
      <c r="R96" s="6" t="s">
        <v>506</v>
      </c>
      <c r="S96" s="38" t="s">
        <v>719</v>
      </c>
      <c r="T96" s="6">
        <v>50</v>
      </c>
    </row>
    <row r="97" spans="2:20" ht="63.75" outlineLevel="1">
      <c r="B97" s="6">
        <v>81</v>
      </c>
      <c r="C97" s="36" t="s">
        <v>714</v>
      </c>
      <c r="D97" s="37" t="s">
        <v>715</v>
      </c>
      <c r="E97" s="11" t="s">
        <v>762</v>
      </c>
      <c r="F97" s="70" t="s">
        <v>170</v>
      </c>
      <c r="G97" s="70" t="s">
        <v>170</v>
      </c>
      <c r="H97" s="70" t="s">
        <v>765</v>
      </c>
      <c r="I97" s="70" t="s">
        <v>766</v>
      </c>
      <c r="J97" s="70" t="s">
        <v>176</v>
      </c>
      <c r="K97" s="70" t="s">
        <v>176</v>
      </c>
      <c r="L97" s="70" t="s">
        <v>595</v>
      </c>
      <c r="M97" s="38" t="s">
        <v>648</v>
      </c>
      <c r="N97" s="26">
        <v>1</v>
      </c>
      <c r="O97" s="57">
        <v>107143</v>
      </c>
      <c r="P97" s="62">
        <f t="shared" si="1"/>
        <v>107143</v>
      </c>
      <c r="Q97" s="6" t="s">
        <v>505</v>
      </c>
      <c r="R97" s="6" t="s">
        <v>506</v>
      </c>
      <c r="S97" s="38" t="s">
        <v>719</v>
      </c>
      <c r="T97" s="6">
        <v>50</v>
      </c>
    </row>
    <row r="98" spans="2:20" ht="61.5" customHeight="1" outlineLevel="1">
      <c r="B98" s="6">
        <v>82</v>
      </c>
      <c r="C98" s="36" t="s">
        <v>714</v>
      </c>
      <c r="D98" s="37" t="s">
        <v>715</v>
      </c>
      <c r="E98" s="16" t="s">
        <v>767</v>
      </c>
      <c r="F98" s="70" t="s">
        <v>801</v>
      </c>
      <c r="G98" s="70" t="s">
        <v>801</v>
      </c>
      <c r="H98" s="70" t="s">
        <v>802</v>
      </c>
      <c r="I98" s="70" t="s">
        <v>768</v>
      </c>
      <c r="J98" s="70" t="s">
        <v>2160</v>
      </c>
      <c r="K98" s="70" t="s">
        <v>147</v>
      </c>
      <c r="L98" s="70" t="s">
        <v>595</v>
      </c>
      <c r="M98" s="38" t="s">
        <v>648</v>
      </c>
      <c r="N98" s="26">
        <v>5</v>
      </c>
      <c r="O98" s="57">
        <v>25000</v>
      </c>
      <c r="P98" s="62">
        <f t="shared" si="1"/>
        <v>125000</v>
      </c>
      <c r="Q98" s="6" t="s">
        <v>616</v>
      </c>
      <c r="R98" s="6" t="s">
        <v>505</v>
      </c>
      <c r="S98" s="38" t="s">
        <v>719</v>
      </c>
      <c r="T98" s="6">
        <v>50</v>
      </c>
    </row>
    <row r="99" spans="2:20" ht="114.75" outlineLevel="1">
      <c r="B99" s="6">
        <v>83</v>
      </c>
      <c r="C99" s="36" t="s">
        <v>714</v>
      </c>
      <c r="D99" s="37" t="s">
        <v>715</v>
      </c>
      <c r="E99" s="6" t="s">
        <v>789</v>
      </c>
      <c r="F99" s="70" t="s">
        <v>753</v>
      </c>
      <c r="G99" s="70" t="s">
        <v>753</v>
      </c>
      <c r="H99" s="70" t="s">
        <v>790</v>
      </c>
      <c r="I99" s="70" t="s">
        <v>791</v>
      </c>
      <c r="J99" s="70" t="s">
        <v>792</v>
      </c>
      <c r="K99" s="70" t="s">
        <v>146</v>
      </c>
      <c r="L99" s="70" t="s">
        <v>595</v>
      </c>
      <c r="M99" s="38" t="s">
        <v>648</v>
      </c>
      <c r="N99" s="26">
        <v>5</v>
      </c>
      <c r="O99" s="57">
        <v>13839</v>
      </c>
      <c r="P99" s="62">
        <f t="shared" si="1"/>
        <v>69195</v>
      </c>
      <c r="Q99" s="6" t="s">
        <v>519</v>
      </c>
      <c r="R99" s="15" t="s">
        <v>1479</v>
      </c>
      <c r="S99" s="38" t="s">
        <v>793</v>
      </c>
      <c r="T99" s="6">
        <v>100</v>
      </c>
    </row>
    <row r="100" spans="2:20" ht="63.75" outlineLevel="1">
      <c r="B100" s="6">
        <v>84</v>
      </c>
      <c r="C100" s="36" t="s">
        <v>714</v>
      </c>
      <c r="D100" s="37" t="s">
        <v>715</v>
      </c>
      <c r="E100" s="6" t="s">
        <v>794</v>
      </c>
      <c r="F100" s="70" t="s">
        <v>753</v>
      </c>
      <c r="G100" s="70" t="s">
        <v>753</v>
      </c>
      <c r="H100" s="70" t="s">
        <v>795</v>
      </c>
      <c r="I100" s="70" t="s">
        <v>796</v>
      </c>
      <c r="J100" s="70" t="s">
        <v>797</v>
      </c>
      <c r="K100" s="70" t="s">
        <v>171</v>
      </c>
      <c r="L100" s="70" t="s">
        <v>595</v>
      </c>
      <c r="M100" s="38" t="s">
        <v>648</v>
      </c>
      <c r="N100" s="26">
        <v>4</v>
      </c>
      <c r="O100" s="57">
        <v>17857</v>
      </c>
      <c r="P100" s="62">
        <f t="shared" si="1"/>
        <v>71428</v>
      </c>
      <c r="Q100" s="6" t="s">
        <v>519</v>
      </c>
      <c r="R100" s="15" t="s">
        <v>1479</v>
      </c>
      <c r="S100" s="38">
        <v>191000000</v>
      </c>
      <c r="T100" s="6">
        <v>100</v>
      </c>
    </row>
    <row r="101" spans="2:20" ht="41.25" customHeight="1" outlineLevel="1">
      <c r="B101" s="6">
        <v>85</v>
      </c>
      <c r="C101" s="16" t="s">
        <v>714</v>
      </c>
      <c r="D101" s="37" t="s">
        <v>715</v>
      </c>
      <c r="E101" s="6" t="s">
        <v>798</v>
      </c>
      <c r="F101" s="70" t="s">
        <v>724</v>
      </c>
      <c r="G101" s="70" t="s">
        <v>724</v>
      </c>
      <c r="H101" s="70" t="s">
        <v>799</v>
      </c>
      <c r="I101" s="70" t="s">
        <v>800</v>
      </c>
      <c r="J101" s="70" t="s">
        <v>2100</v>
      </c>
      <c r="K101" s="70" t="s">
        <v>344</v>
      </c>
      <c r="L101" s="70" t="s">
        <v>595</v>
      </c>
      <c r="M101" s="38" t="s">
        <v>648</v>
      </c>
      <c r="N101" s="26">
        <v>3</v>
      </c>
      <c r="O101" s="57">
        <f>P101/N101</f>
        <v>0</v>
      </c>
      <c r="P101" s="62">
        <f>107142-50142-57000</f>
        <v>0</v>
      </c>
      <c r="Q101" s="6" t="s">
        <v>519</v>
      </c>
      <c r="R101" s="15" t="s">
        <v>1479</v>
      </c>
      <c r="S101" s="38" t="s">
        <v>793</v>
      </c>
      <c r="T101" s="6">
        <v>100</v>
      </c>
    </row>
    <row r="102" spans="2:20" ht="63.75" customHeight="1" outlineLevel="1">
      <c r="B102" s="6">
        <v>86</v>
      </c>
      <c r="C102" s="36" t="s">
        <v>714</v>
      </c>
      <c r="D102" s="37" t="s">
        <v>715</v>
      </c>
      <c r="E102" s="16" t="s">
        <v>767</v>
      </c>
      <c r="F102" s="70" t="s">
        <v>801</v>
      </c>
      <c r="G102" s="70" t="s">
        <v>801</v>
      </c>
      <c r="H102" s="70" t="s">
        <v>802</v>
      </c>
      <c r="I102" s="70" t="s">
        <v>768</v>
      </c>
      <c r="J102" s="70" t="s">
        <v>2161</v>
      </c>
      <c r="K102" s="70" t="s">
        <v>2162</v>
      </c>
      <c r="L102" s="70" t="s">
        <v>595</v>
      </c>
      <c r="M102" s="38" t="s">
        <v>648</v>
      </c>
      <c r="N102" s="26">
        <v>2</v>
      </c>
      <c r="O102" s="57">
        <f>P102/N102</f>
        <v>0</v>
      </c>
      <c r="P102" s="62">
        <f>39286-39286</f>
        <v>0</v>
      </c>
      <c r="Q102" s="6" t="s">
        <v>519</v>
      </c>
      <c r="R102" s="15" t="s">
        <v>1479</v>
      </c>
      <c r="S102" s="38" t="s">
        <v>793</v>
      </c>
      <c r="T102" s="6">
        <v>100</v>
      </c>
    </row>
    <row r="103" spans="2:20" ht="76.5" outlineLevel="1">
      <c r="B103" s="6">
        <v>87</v>
      </c>
      <c r="C103" s="36" t="s">
        <v>714</v>
      </c>
      <c r="D103" s="37" t="s">
        <v>715</v>
      </c>
      <c r="E103" s="6" t="s">
        <v>803</v>
      </c>
      <c r="F103" s="70" t="s">
        <v>734</v>
      </c>
      <c r="G103" s="70" t="s">
        <v>735</v>
      </c>
      <c r="H103" s="70" t="s">
        <v>804</v>
      </c>
      <c r="I103" s="70" t="s">
        <v>805</v>
      </c>
      <c r="J103" s="70" t="s">
        <v>734</v>
      </c>
      <c r="K103" s="70" t="s">
        <v>735</v>
      </c>
      <c r="L103" s="70" t="s">
        <v>595</v>
      </c>
      <c r="M103" s="38" t="s">
        <v>648</v>
      </c>
      <c r="N103" s="26">
        <v>1</v>
      </c>
      <c r="O103" s="57">
        <f>P103/N103</f>
        <v>0</v>
      </c>
      <c r="P103" s="62">
        <f>31875-31875</f>
        <v>0</v>
      </c>
      <c r="Q103" s="6" t="s">
        <v>519</v>
      </c>
      <c r="R103" s="15" t="s">
        <v>1479</v>
      </c>
      <c r="S103" s="38" t="s">
        <v>793</v>
      </c>
      <c r="T103" s="6">
        <v>100</v>
      </c>
    </row>
    <row r="104" spans="2:20" ht="102" outlineLevel="1">
      <c r="B104" s="6">
        <v>88</v>
      </c>
      <c r="C104" s="36" t="s">
        <v>714</v>
      </c>
      <c r="D104" s="37" t="s">
        <v>715</v>
      </c>
      <c r="E104" s="16" t="s">
        <v>887</v>
      </c>
      <c r="F104" s="70" t="s">
        <v>170</v>
      </c>
      <c r="G104" s="70" t="s">
        <v>170</v>
      </c>
      <c r="H104" s="70" t="s">
        <v>889</v>
      </c>
      <c r="I104" s="70" t="s">
        <v>890</v>
      </c>
      <c r="J104" s="70" t="s">
        <v>888</v>
      </c>
      <c r="K104" s="70" t="s">
        <v>176</v>
      </c>
      <c r="L104" s="70" t="s">
        <v>595</v>
      </c>
      <c r="M104" s="38" t="s">
        <v>648</v>
      </c>
      <c r="N104" s="26">
        <v>5</v>
      </c>
      <c r="O104" s="57">
        <f>P104/N104</f>
        <v>0</v>
      </c>
      <c r="P104" s="62">
        <f>214950-210000-4950</f>
        <v>0</v>
      </c>
      <c r="Q104" s="6" t="s">
        <v>616</v>
      </c>
      <c r="R104" s="6" t="s">
        <v>505</v>
      </c>
      <c r="S104" s="38">
        <v>591000000</v>
      </c>
      <c r="T104" s="26">
        <v>100</v>
      </c>
    </row>
    <row r="105" spans="2:20" ht="114.75" outlineLevel="1">
      <c r="B105" s="6">
        <v>89</v>
      </c>
      <c r="C105" s="36" t="s">
        <v>714</v>
      </c>
      <c r="D105" s="37" t="s">
        <v>715</v>
      </c>
      <c r="E105" s="12" t="s">
        <v>875</v>
      </c>
      <c r="F105" s="70" t="s">
        <v>2163</v>
      </c>
      <c r="G105" s="70" t="s">
        <v>172</v>
      </c>
      <c r="H105" s="70" t="s">
        <v>2164</v>
      </c>
      <c r="I105" s="70" t="s">
        <v>876</v>
      </c>
      <c r="J105" s="70" t="s">
        <v>2165</v>
      </c>
      <c r="K105" s="70" t="s">
        <v>173</v>
      </c>
      <c r="L105" s="70" t="s">
        <v>595</v>
      </c>
      <c r="M105" s="38" t="s">
        <v>648</v>
      </c>
      <c r="N105" s="26">
        <v>1</v>
      </c>
      <c r="O105" s="57">
        <v>107143</v>
      </c>
      <c r="P105" s="62">
        <f t="shared" si="1"/>
        <v>107143</v>
      </c>
      <c r="Q105" s="6" t="s">
        <v>395</v>
      </c>
      <c r="R105" s="6" t="s">
        <v>770</v>
      </c>
      <c r="S105" s="38" t="s">
        <v>2038</v>
      </c>
      <c r="T105" s="26">
        <v>30</v>
      </c>
    </row>
    <row r="106" spans="2:20" ht="89.25" outlineLevel="1">
      <c r="B106" s="6">
        <v>90</v>
      </c>
      <c r="C106" s="16" t="s">
        <v>714</v>
      </c>
      <c r="D106" s="37" t="s">
        <v>715</v>
      </c>
      <c r="E106" s="12" t="s">
        <v>949</v>
      </c>
      <c r="F106" s="70" t="s">
        <v>1534</v>
      </c>
      <c r="G106" s="70" t="s">
        <v>1534</v>
      </c>
      <c r="H106" s="70" t="s">
        <v>992</v>
      </c>
      <c r="I106" s="70" t="s">
        <v>950</v>
      </c>
      <c r="J106" s="70" t="s">
        <v>2166</v>
      </c>
      <c r="K106" s="70" t="s">
        <v>174</v>
      </c>
      <c r="L106" s="70" t="s">
        <v>595</v>
      </c>
      <c r="M106" s="38" t="s">
        <v>648</v>
      </c>
      <c r="N106" s="26">
        <v>4</v>
      </c>
      <c r="O106" s="57">
        <v>12768</v>
      </c>
      <c r="P106" s="62">
        <f t="shared" si="1"/>
        <v>51072</v>
      </c>
      <c r="Q106" s="6" t="s">
        <v>616</v>
      </c>
      <c r="R106" s="6" t="s">
        <v>770</v>
      </c>
      <c r="S106" s="38">
        <v>311000000</v>
      </c>
      <c r="T106" s="26">
        <v>30</v>
      </c>
    </row>
    <row r="107" spans="2:20" ht="51" outlineLevel="1">
      <c r="B107" s="6">
        <v>91</v>
      </c>
      <c r="C107" s="36" t="s">
        <v>714</v>
      </c>
      <c r="D107" s="37" t="s">
        <v>715</v>
      </c>
      <c r="E107" s="12" t="s">
        <v>951</v>
      </c>
      <c r="F107" s="70" t="s">
        <v>983</v>
      </c>
      <c r="G107" s="70" t="s">
        <v>983</v>
      </c>
      <c r="H107" s="70" t="s">
        <v>990</v>
      </c>
      <c r="I107" s="70" t="s">
        <v>991</v>
      </c>
      <c r="J107" s="70" t="s">
        <v>2167</v>
      </c>
      <c r="K107" s="70" t="s">
        <v>108</v>
      </c>
      <c r="L107" s="70" t="s">
        <v>595</v>
      </c>
      <c r="M107" s="38" t="s">
        <v>648</v>
      </c>
      <c r="N107" s="26">
        <v>1</v>
      </c>
      <c r="O107" s="57">
        <v>49054</v>
      </c>
      <c r="P107" s="62">
        <f t="shared" si="1"/>
        <v>49054</v>
      </c>
      <c r="Q107" s="6" t="s">
        <v>505</v>
      </c>
      <c r="R107" s="6" t="s">
        <v>770</v>
      </c>
      <c r="S107" s="38">
        <v>311000000</v>
      </c>
      <c r="T107" s="26">
        <v>30</v>
      </c>
    </row>
    <row r="108" spans="2:20" ht="76.5" outlineLevel="1">
      <c r="B108" s="6">
        <v>92</v>
      </c>
      <c r="C108" s="36" t="s">
        <v>714</v>
      </c>
      <c r="D108" s="37" t="s">
        <v>715</v>
      </c>
      <c r="E108" s="12" t="s">
        <v>952</v>
      </c>
      <c r="F108" s="70" t="s">
        <v>2168</v>
      </c>
      <c r="G108" s="70" t="s">
        <v>2</v>
      </c>
      <c r="H108" s="70" t="s">
        <v>2170</v>
      </c>
      <c r="I108" s="70" t="s">
        <v>953</v>
      </c>
      <c r="J108" s="70" t="s">
        <v>2168</v>
      </c>
      <c r="K108" s="70" t="s">
        <v>2</v>
      </c>
      <c r="L108" s="70" t="s">
        <v>595</v>
      </c>
      <c r="M108" s="38" t="s">
        <v>648</v>
      </c>
      <c r="N108" s="26">
        <v>4</v>
      </c>
      <c r="O108" s="57">
        <v>14777</v>
      </c>
      <c r="P108" s="62">
        <f t="shared" si="1"/>
        <v>59108</v>
      </c>
      <c r="Q108" s="6" t="s">
        <v>506</v>
      </c>
      <c r="R108" s="6" t="s">
        <v>770</v>
      </c>
      <c r="S108" s="38">
        <v>311000000</v>
      </c>
      <c r="T108" s="26">
        <v>30</v>
      </c>
    </row>
    <row r="109" spans="2:20" ht="51" outlineLevel="1">
      <c r="B109" s="6">
        <v>93</v>
      </c>
      <c r="C109" s="16" t="s">
        <v>714</v>
      </c>
      <c r="D109" s="37" t="s">
        <v>715</v>
      </c>
      <c r="E109" s="12" t="s">
        <v>954</v>
      </c>
      <c r="F109" s="70" t="s">
        <v>749</v>
      </c>
      <c r="G109" s="70" t="s">
        <v>109</v>
      </c>
      <c r="H109" s="70" t="s">
        <v>2171</v>
      </c>
      <c r="I109" s="70" t="s">
        <v>955</v>
      </c>
      <c r="J109" s="70" t="s">
        <v>749</v>
      </c>
      <c r="K109" s="70" t="s">
        <v>109</v>
      </c>
      <c r="L109" s="70" t="s">
        <v>595</v>
      </c>
      <c r="M109" s="38" t="s">
        <v>648</v>
      </c>
      <c r="N109" s="26">
        <v>4</v>
      </c>
      <c r="O109" s="57">
        <v>4446</v>
      </c>
      <c r="P109" s="62">
        <f t="shared" si="1"/>
        <v>17784</v>
      </c>
      <c r="Q109" s="6" t="s">
        <v>702</v>
      </c>
      <c r="R109" s="6" t="s">
        <v>770</v>
      </c>
      <c r="S109" s="38">
        <v>311000000</v>
      </c>
      <c r="T109" s="26">
        <v>30</v>
      </c>
    </row>
    <row r="110" spans="2:20" ht="63.75" outlineLevel="1">
      <c r="B110" s="6">
        <v>94</v>
      </c>
      <c r="C110" s="36" t="s">
        <v>714</v>
      </c>
      <c r="D110" s="37" t="s">
        <v>715</v>
      </c>
      <c r="E110" s="16" t="s">
        <v>767</v>
      </c>
      <c r="F110" s="70" t="s">
        <v>801</v>
      </c>
      <c r="G110" s="70" t="s">
        <v>801</v>
      </c>
      <c r="H110" s="70" t="s">
        <v>802</v>
      </c>
      <c r="I110" s="70" t="s">
        <v>768</v>
      </c>
      <c r="J110" s="70" t="s">
        <v>2160</v>
      </c>
      <c r="K110" s="70" t="s">
        <v>147</v>
      </c>
      <c r="L110" s="70" t="s">
        <v>595</v>
      </c>
      <c r="M110" s="38" t="s">
        <v>648</v>
      </c>
      <c r="N110" s="26">
        <v>3</v>
      </c>
      <c r="O110" s="57">
        <v>41786</v>
      </c>
      <c r="P110" s="62">
        <f t="shared" si="1"/>
        <v>125358</v>
      </c>
      <c r="Q110" s="6" t="s">
        <v>703</v>
      </c>
      <c r="R110" s="6" t="s">
        <v>770</v>
      </c>
      <c r="S110" s="38">
        <v>311000000</v>
      </c>
      <c r="T110" s="26">
        <v>30</v>
      </c>
    </row>
    <row r="111" spans="2:20" ht="51" outlineLevel="1">
      <c r="B111" s="6">
        <v>95</v>
      </c>
      <c r="C111" s="16" t="s">
        <v>714</v>
      </c>
      <c r="D111" s="37" t="s">
        <v>715</v>
      </c>
      <c r="E111" s="6" t="s">
        <v>1366</v>
      </c>
      <c r="F111" s="70" t="s">
        <v>2088</v>
      </c>
      <c r="G111" s="70" t="s">
        <v>1057</v>
      </c>
      <c r="H111" s="70" t="s">
        <v>2090</v>
      </c>
      <c r="I111" s="70" t="s">
        <v>1368</v>
      </c>
      <c r="J111" s="70" t="s">
        <v>2091</v>
      </c>
      <c r="K111" s="70" t="s">
        <v>175</v>
      </c>
      <c r="L111" s="70" t="s">
        <v>595</v>
      </c>
      <c r="M111" s="38" t="s">
        <v>648</v>
      </c>
      <c r="N111" s="26">
        <v>2</v>
      </c>
      <c r="O111" s="57">
        <v>71429</v>
      </c>
      <c r="P111" s="62">
        <f t="shared" si="1"/>
        <v>142858</v>
      </c>
      <c r="Q111" s="6" t="s">
        <v>395</v>
      </c>
      <c r="R111" s="6" t="s">
        <v>395</v>
      </c>
      <c r="S111" s="38" t="s">
        <v>2030</v>
      </c>
      <c r="T111" s="26">
        <v>100</v>
      </c>
    </row>
    <row r="112" spans="2:20" ht="38.25" outlineLevel="1">
      <c r="B112" s="6">
        <v>96</v>
      </c>
      <c r="C112" s="16" t="s">
        <v>714</v>
      </c>
      <c r="D112" s="37" t="s">
        <v>715</v>
      </c>
      <c r="E112" s="6" t="s">
        <v>1369</v>
      </c>
      <c r="F112" s="70" t="s">
        <v>2172</v>
      </c>
      <c r="G112" s="70" t="s">
        <v>4</v>
      </c>
      <c r="H112" s="70" t="s">
        <v>2173</v>
      </c>
      <c r="I112" s="70" t="s">
        <v>1370</v>
      </c>
      <c r="J112" s="70" t="s">
        <v>2172</v>
      </c>
      <c r="K112" s="70" t="s">
        <v>4</v>
      </c>
      <c r="L112" s="70" t="s">
        <v>595</v>
      </c>
      <c r="M112" s="38" t="s">
        <v>648</v>
      </c>
      <c r="N112" s="26">
        <v>1</v>
      </c>
      <c r="O112" s="57">
        <v>53571</v>
      </c>
      <c r="P112" s="62">
        <f t="shared" si="1"/>
        <v>53571</v>
      </c>
      <c r="Q112" s="6" t="s">
        <v>395</v>
      </c>
      <c r="R112" s="6" t="s">
        <v>395</v>
      </c>
      <c r="S112" s="38" t="s">
        <v>2030</v>
      </c>
      <c r="T112" s="26">
        <v>100</v>
      </c>
    </row>
    <row r="113" spans="2:20" ht="42.75" customHeight="1">
      <c r="B113" s="6">
        <v>97</v>
      </c>
      <c r="C113" s="36" t="s">
        <v>714</v>
      </c>
      <c r="D113" s="37" t="s">
        <v>715</v>
      </c>
      <c r="E113" s="12" t="s">
        <v>811</v>
      </c>
      <c r="F113" s="70" t="s">
        <v>1602</v>
      </c>
      <c r="G113" s="70" t="s">
        <v>2387</v>
      </c>
      <c r="H113" s="70" t="s">
        <v>1603</v>
      </c>
      <c r="I113" s="70" t="s">
        <v>812</v>
      </c>
      <c r="J113" s="70" t="s">
        <v>1604</v>
      </c>
      <c r="K113" s="70" t="s">
        <v>5</v>
      </c>
      <c r="L113" s="70" t="s">
        <v>595</v>
      </c>
      <c r="M113" s="38" t="s">
        <v>648</v>
      </c>
      <c r="N113" s="26">
        <v>5</v>
      </c>
      <c r="O113" s="57">
        <v>2723</v>
      </c>
      <c r="P113" s="62">
        <f t="shared" si="1"/>
        <v>13615</v>
      </c>
      <c r="Q113" s="6" t="s">
        <v>395</v>
      </c>
      <c r="R113" s="6" t="s">
        <v>1481</v>
      </c>
      <c r="S113" s="38" t="s">
        <v>1179</v>
      </c>
      <c r="T113" s="26">
        <v>50</v>
      </c>
    </row>
    <row r="114" spans="2:20" ht="51">
      <c r="B114" s="6">
        <v>98</v>
      </c>
      <c r="C114" s="36" t="s">
        <v>714</v>
      </c>
      <c r="D114" s="37" t="s">
        <v>715</v>
      </c>
      <c r="E114" s="12" t="s">
        <v>1061</v>
      </c>
      <c r="F114" s="70" t="s">
        <v>1605</v>
      </c>
      <c r="G114" s="70" t="s">
        <v>186</v>
      </c>
      <c r="H114" s="70" t="s">
        <v>1606</v>
      </c>
      <c r="I114" s="70" t="s">
        <v>1062</v>
      </c>
      <c r="J114" s="70" t="s">
        <v>186</v>
      </c>
      <c r="K114" s="70" t="s">
        <v>186</v>
      </c>
      <c r="L114" s="70" t="s">
        <v>595</v>
      </c>
      <c r="M114" s="38" t="s">
        <v>648</v>
      </c>
      <c r="N114" s="26">
        <v>20</v>
      </c>
      <c r="O114" s="57">
        <v>1339</v>
      </c>
      <c r="P114" s="62">
        <f t="shared" si="1"/>
        <v>26780</v>
      </c>
      <c r="Q114" s="6" t="s">
        <v>395</v>
      </c>
      <c r="R114" s="6" t="s">
        <v>1481</v>
      </c>
      <c r="S114" s="38" t="s">
        <v>1179</v>
      </c>
      <c r="T114" s="26">
        <v>50</v>
      </c>
    </row>
    <row r="115" spans="2:20" ht="51">
      <c r="B115" s="6">
        <v>99</v>
      </c>
      <c r="C115" s="36" t="s">
        <v>714</v>
      </c>
      <c r="D115" s="37" t="s">
        <v>715</v>
      </c>
      <c r="E115" s="12" t="s">
        <v>956</v>
      </c>
      <c r="F115" s="70" t="s">
        <v>2178</v>
      </c>
      <c r="G115" s="70" t="s">
        <v>957</v>
      </c>
      <c r="H115" s="70" t="s">
        <v>2178</v>
      </c>
      <c r="I115" s="70" t="s">
        <v>957</v>
      </c>
      <c r="J115" s="70" t="s">
        <v>6</v>
      </c>
      <c r="K115" s="70" t="s">
        <v>6</v>
      </c>
      <c r="L115" s="70" t="s">
        <v>595</v>
      </c>
      <c r="M115" s="38" t="s">
        <v>648</v>
      </c>
      <c r="N115" s="26">
        <v>10</v>
      </c>
      <c r="O115" s="57">
        <v>4911</v>
      </c>
      <c r="P115" s="62">
        <f t="shared" si="1"/>
        <v>49110</v>
      </c>
      <c r="Q115" s="6" t="s">
        <v>395</v>
      </c>
      <c r="R115" s="6" t="s">
        <v>1481</v>
      </c>
      <c r="S115" s="38" t="s">
        <v>1179</v>
      </c>
      <c r="T115" s="26">
        <v>50</v>
      </c>
    </row>
    <row r="116" spans="2:20" ht="51">
      <c r="B116" s="6">
        <v>100</v>
      </c>
      <c r="C116" s="36" t="s">
        <v>714</v>
      </c>
      <c r="D116" s="37" t="s">
        <v>715</v>
      </c>
      <c r="E116" s="38" t="s">
        <v>638</v>
      </c>
      <c r="F116" s="70" t="s">
        <v>817</v>
      </c>
      <c r="G116" s="70" t="s">
        <v>369</v>
      </c>
      <c r="H116" s="70" t="s">
        <v>1607</v>
      </c>
      <c r="I116" s="70" t="s">
        <v>639</v>
      </c>
      <c r="J116" s="70" t="s">
        <v>817</v>
      </c>
      <c r="K116" s="70" t="s">
        <v>369</v>
      </c>
      <c r="L116" s="70" t="s">
        <v>595</v>
      </c>
      <c r="M116" s="38" t="s">
        <v>648</v>
      </c>
      <c r="N116" s="26">
        <v>10</v>
      </c>
      <c r="O116" s="57">
        <v>714</v>
      </c>
      <c r="P116" s="62">
        <f t="shared" si="1"/>
        <v>7140</v>
      </c>
      <c r="Q116" s="6" t="s">
        <v>395</v>
      </c>
      <c r="R116" s="6" t="s">
        <v>1481</v>
      </c>
      <c r="S116" s="38" t="s">
        <v>1179</v>
      </c>
      <c r="T116" s="26">
        <v>50</v>
      </c>
    </row>
    <row r="117" spans="2:20" ht="51">
      <c r="B117" s="6">
        <v>101</v>
      </c>
      <c r="C117" s="36" t="s">
        <v>714</v>
      </c>
      <c r="D117" s="37" t="s">
        <v>715</v>
      </c>
      <c r="E117" s="12" t="s">
        <v>1063</v>
      </c>
      <c r="F117" s="70" t="s">
        <v>1608</v>
      </c>
      <c r="G117" s="70" t="s">
        <v>1064</v>
      </c>
      <c r="H117" s="70" t="s">
        <v>1609</v>
      </c>
      <c r="I117" s="70" t="s">
        <v>1065</v>
      </c>
      <c r="J117" s="70" t="s">
        <v>1610</v>
      </c>
      <c r="K117" s="70" t="s">
        <v>187</v>
      </c>
      <c r="L117" s="70" t="s">
        <v>595</v>
      </c>
      <c r="M117" s="38" t="s">
        <v>648</v>
      </c>
      <c r="N117" s="26">
        <v>5</v>
      </c>
      <c r="O117" s="57">
        <v>491</v>
      </c>
      <c r="P117" s="62">
        <f t="shared" si="1"/>
        <v>2455</v>
      </c>
      <c r="Q117" s="6" t="s">
        <v>395</v>
      </c>
      <c r="R117" s="6" t="s">
        <v>1481</v>
      </c>
      <c r="S117" s="38" t="s">
        <v>1179</v>
      </c>
      <c r="T117" s="26">
        <v>50</v>
      </c>
    </row>
    <row r="118" spans="2:20" ht="51">
      <c r="B118" s="6">
        <v>102</v>
      </c>
      <c r="C118" s="36" t="s">
        <v>714</v>
      </c>
      <c r="D118" s="37" t="s">
        <v>715</v>
      </c>
      <c r="E118" s="12" t="s">
        <v>1063</v>
      </c>
      <c r="F118" s="70" t="s">
        <v>1608</v>
      </c>
      <c r="G118" s="70" t="s">
        <v>1064</v>
      </c>
      <c r="H118" s="70" t="s">
        <v>1609</v>
      </c>
      <c r="I118" s="70" t="s">
        <v>1065</v>
      </c>
      <c r="J118" s="70" t="s">
        <v>1611</v>
      </c>
      <c r="K118" s="70" t="s">
        <v>188</v>
      </c>
      <c r="L118" s="70" t="s">
        <v>595</v>
      </c>
      <c r="M118" s="38" t="s">
        <v>648</v>
      </c>
      <c r="N118" s="26">
        <v>5</v>
      </c>
      <c r="O118" s="57">
        <v>446</v>
      </c>
      <c r="P118" s="62">
        <f t="shared" si="1"/>
        <v>2230</v>
      </c>
      <c r="Q118" s="6" t="s">
        <v>395</v>
      </c>
      <c r="R118" s="6" t="s">
        <v>1481</v>
      </c>
      <c r="S118" s="38" t="s">
        <v>1179</v>
      </c>
      <c r="T118" s="26">
        <v>50</v>
      </c>
    </row>
    <row r="119" spans="2:20" ht="51">
      <c r="B119" s="6">
        <v>103</v>
      </c>
      <c r="C119" s="36" t="s">
        <v>714</v>
      </c>
      <c r="D119" s="37" t="s">
        <v>715</v>
      </c>
      <c r="E119" s="12" t="s">
        <v>1066</v>
      </c>
      <c r="F119" s="70" t="s">
        <v>1612</v>
      </c>
      <c r="G119" s="70" t="s">
        <v>1067</v>
      </c>
      <c r="H119" s="70" t="s">
        <v>1613</v>
      </c>
      <c r="I119" s="70" t="s">
        <v>1068</v>
      </c>
      <c r="J119" s="70" t="s">
        <v>1614</v>
      </c>
      <c r="K119" s="70" t="s">
        <v>189</v>
      </c>
      <c r="L119" s="70" t="s">
        <v>595</v>
      </c>
      <c r="M119" s="38" t="s">
        <v>648</v>
      </c>
      <c r="N119" s="26">
        <v>5</v>
      </c>
      <c r="O119" s="57">
        <v>1071</v>
      </c>
      <c r="P119" s="62">
        <f t="shared" si="1"/>
        <v>5355</v>
      </c>
      <c r="Q119" s="6" t="s">
        <v>395</v>
      </c>
      <c r="R119" s="6" t="s">
        <v>1481</v>
      </c>
      <c r="S119" s="38" t="s">
        <v>1179</v>
      </c>
      <c r="T119" s="26">
        <v>50</v>
      </c>
    </row>
    <row r="120" spans="2:20" ht="51">
      <c r="B120" s="6">
        <v>104</v>
      </c>
      <c r="C120" s="36" t="s">
        <v>714</v>
      </c>
      <c r="D120" s="37" t="s">
        <v>715</v>
      </c>
      <c r="E120" s="12" t="s">
        <v>1069</v>
      </c>
      <c r="F120" s="70" t="s">
        <v>1615</v>
      </c>
      <c r="G120" s="70" t="s">
        <v>1070</v>
      </c>
      <c r="H120" s="70" t="s">
        <v>1615</v>
      </c>
      <c r="I120" s="70" t="s">
        <v>1070</v>
      </c>
      <c r="J120" s="70" t="s">
        <v>1615</v>
      </c>
      <c r="K120" s="70" t="s">
        <v>190</v>
      </c>
      <c r="L120" s="70" t="s">
        <v>595</v>
      </c>
      <c r="M120" s="38" t="s">
        <v>1487</v>
      </c>
      <c r="N120" s="26">
        <v>2</v>
      </c>
      <c r="O120" s="57">
        <v>1607</v>
      </c>
      <c r="P120" s="62">
        <f t="shared" si="1"/>
        <v>3214</v>
      </c>
      <c r="Q120" s="6" t="s">
        <v>395</v>
      </c>
      <c r="R120" s="6" t="s">
        <v>1481</v>
      </c>
      <c r="S120" s="38" t="s">
        <v>1179</v>
      </c>
      <c r="T120" s="26">
        <v>50</v>
      </c>
    </row>
    <row r="121" spans="2:20" ht="51">
      <c r="B121" s="6">
        <v>105</v>
      </c>
      <c r="C121" s="36" t="s">
        <v>714</v>
      </c>
      <c r="D121" s="37" t="s">
        <v>715</v>
      </c>
      <c r="E121" s="58" t="s">
        <v>1071</v>
      </c>
      <c r="F121" s="70" t="s">
        <v>2257</v>
      </c>
      <c r="G121" s="70" t="s">
        <v>1072</v>
      </c>
      <c r="H121" s="70" t="s">
        <v>1616</v>
      </c>
      <c r="I121" s="70" t="s">
        <v>1073</v>
      </c>
      <c r="J121" s="70" t="s">
        <v>2257</v>
      </c>
      <c r="K121" s="70" t="s">
        <v>7</v>
      </c>
      <c r="L121" s="70" t="s">
        <v>595</v>
      </c>
      <c r="M121" s="38" t="s">
        <v>648</v>
      </c>
      <c r="N121" s="26">
        <v>10</v>
      </c>
      <c r="O121" s="57">
        <v>469</v>
      </c>
      <c r="P121" s="62">
        <f t="shared" si="1"/>
        <v>4690</v>
      </c>
      <c r="Q121" s="6" t="s">
        <v>395</v>
      </c>
      <c r="R121" s="6" t="s">
        <v>1481</v>
      </c>
      <c r="S121" s="38" t="s">
        <v>1179</v>
      </c>
      <c r="T121" s="26">
        <v>50</v>
      </c>
    </row>
    <row r="122" spans="2:20" ht="51">
      <c r="B122" s="6">
        <v>106</v>
      </c>
      <c r="C122" s="36" t="s">
        <v>714</v>
      </c>
      <c r="D122" s="37" t="s">
        <v>715</v>
      </c>
      <c r="E122" s="12" t="s">
        <v>1074</v>
      </c>
      <c r="F122" s="70" t="s">
        <v>1617</v>
      </c>
      <c r="G122" s="70" t="s">
        <v>1075</v>
      </c>
      <c r="H122" s="70" t="s">
        <v>1618</v>
      </c>
      <c r="I122" s="70" t="s">
        <v>471</v>
      </c>
      <c r="J122" s="70" t="s">
        <v>1619</v>
      </c>
      <c r="K122" s="70" t="s">
        <v>191</v>
      </c>
      <c r="L122" s="70" t="s">
        <v>595</v>
      </c>
      <c r="M122" s="38" t="s">
        <v>648</v>
      </c>
      <c r="N122" s="26">
        <v>1</v>
      </c>
      <c r="O122" s="57">
        <v>2232</v>
      </c>
      <c r="P122" s="62">
        <f t="shared" si="1"/>
        <v>2232</v>
      </c>
      <c r="Q122" s="6" t="s">
        <v>395</v>
      </c>
      <c r="R122" s="6" t="s">
        <v>1481</v>
      </c>
      <c r="S122" s="38" t="s">
        <v>1179</v>
      </c>
      <c r="T122" s="26">
        <v>50</v>
      </c>
    </row>
    <row r="123" spans="2:20" ht="51">
      <c r="B123" s="6">
        <v>107</v>
      </c>
      <c r="C123" s="36" t="s">
        <v>714</v>
      </c>
      <c r="D123" s="37" t="s">
        <v>715</v>
      </c>
      <c r="E123" s="12" t="s">
        <v>1076</v>
      </c>
      <c r="F123" s="70" t="s">
        <v>1620</v>
      </c>
      <c r="G123" s="70" t="s">
        <v>8</v>
      </c>
      <c r="H123" s="70" t="s">
        <v>1621</v>
      </c>
      <c r="I123" s="70" t="s">
        <v>1077</v>
      </c>
      <c r="J123" s="70" t="s">
        <v>1620</v>
      </c>
      <c r="K123" s="70" t="s">
        <v>8</v>
      </c>
      <c r="L123" s="70" t="s">
        <v>595</v>
      </c>
      <c r="M123" s="38" t="s">
        <v>648</v>
      </c>
      <c r="N123" s="26">
        <v>2</v>
      </c>
      <c r="O123" s="57">
        <v>1429</v>
      </c>
      <c r="P123" s="62">
        <f t="shared" si="1"/>
        <v>2858</v>
      </c>
      <c r="Q123" s="6" t="s">
        <v>395</v>
      </c>
      <c r="R123" s="6" t="s">
        <v>1481</v>
      </c>
      <c r="S123" s="38" t="s">
        <v>1179</v>
      </c>
      <c r="T123" s="26">
        <v>50</v>
      </c>
    </row>
    <row r="124" spans="2:20" ht="51">
      <c r="B124" s="6">
        <v>108</v>
      </c>
      <c r="C124" s="36" t="s">
        <v>714</v>
      </c>
      <c r="D124" s="37" t="s">
        <v>715</v>
      </c>
      <c r="E124" s="12" t="s">
        <v>1078</v>
      </c>
      <c r="F124" s="70" t="s">
        <v>1622</v>
      </c>
      <c r="G124" s="70" t="s">
        <v>9</v>
      </c>
      <c r="H124" s="70" t="s">
        <v>1623</v>
      </c>
      <c r="I124" s="70" t="s">
        <v>1079</v>
      </c>
      <c r="J124" s="70" t="s">
        <v>1622</v>
      </c>
      <c r="K124" s="70" t="s">
        <v>9</v>
      </c>
      <c r="L124" s="70" t="s">
        <v>595</v>
      </c>
      <c r="M124" s="6" t="s">
        <v>1487</v>
      </c>
      <c r="N124" s="26">
        <v>2</v>
      </c>
      <c r="O124" s="57">
        <v>2991</v>
      </c>
      <c r="P124" s="62">
        <f t="shared" si="1"/>
        <v>5982</v>
      </c>
      <c r="Q124" s="6" t="s">
        <v>395</v>
      </c>
      <c r="R124" s="6" t="s">
        <v>1481</v>
      </c>
      <c r="S124" s="38" t="s">
        <v>1179</v>
      </c>
      <c r="T124" s="26">
        <v>50</v>
      </c>
    </row>
    <row r="125" spans="2:20" ht="51">
      <c r="B125" s="6">
        <v>109</v>
      </c>
      <c r="C125" s="36" t="s">
        <v>714</v>
      </c>
      <c r="D125" s="37" t="s">
        <v>715</v>
      </c>
      <c r="E125" s="6" t="s">
        <v>643</v>
      </c>
      <c r="F125" s="70" t="s">
        <v>1624</v>
      </c>
      <c r="G125" s="70" t="s">
        <v>1625</v>
      </c>
      <c r="H125" s="70" t="s">
        <v>1626</v>
      </c>
      <c r="I125" s="70" t="s">
        <v>644</v>
      </c>
      <c r="J125" s="70" t="s">
        <v>1626</v>
      </c>
      <c r="K125" s="70" t="s">
        <v>372</v>
      </c>
      <c r="L125" s="70" t="s">
        <v>595</v>
      </c>
      <c r="M125" s="38" t="s">
        <v>648</v>
      </c>
      <c r="N125" s="26">
        <v>1</v>
      </c>
      <c r="O125" s="57">
        <v>3304</v>
      </c>
      <c r="P125" s="62">
        <f t="shared" si="1"/>
        <v>3304</v>
      </c>
      <c r="Q125" s="6" t="s">
        <v>395</v>
      </c>
      <c r="R125" s="6" t="s">
        <v>1481</v>
      </c>
      <c r="S125" s="38" t="s">
        <v>1179</v>
      </c>
      <c r="T125" s="26">
        <v>50</v>
      </c>
    </row>
    <row r="126" spans="2:20" ht="51">
      <c r="B126" s="6">
        <v>110</v>
      </c>
      <c r="C126" s="36" t="s">
        <v>714</v>
      </c>
      <c r="D126" s="37" t="s">
        <v>715</v>
      </c>
      <c r="E126" s="6" t="s">
        <v>1080</v>
      </c>
      <c r="F126" s="70" t="s">
        <v>1627</v>
      </c>
      <c r="G126" s="70" t="s">
        <v>1081</v>
      </c>
      <c r="H126" s="70" t="s">
        <v>1628</v>
      </c>
      <c r="I126" s="70" t="s">
        <v>1082</v>
      </c>
      <c r="J126" s="70" t="s">
        <v>192</v>
      </c>
      <c r="K126" s="70" t="s">
        <v>192</v>
      </c>
      <c r="L126" s="70" t="s">
        <v>595</v>
      </c>
      <c r="M126" s="38" t="s">
        <v>1484</v>
      </c>
      <c r="N126" s="26">
        <v>20</v>
      </c>
      <c r="O126" s="57">
        <v>335</v>
      </c>
      <c r="P126" s="62">
        <f t="shared" si="1"/>
        <v>6700</v>
      </c>
      <c r="Q126" s="6" t="s">
        <v>395</v>
      </c>
      <c r="R126" s="6" t="s">
        <v>1481</v>
      </c>
      <c r="S126" s="38" t="s">
        <v>1179</v>
      </c>
      <c r="T126" s="26">
        <v>50</v>
      </c>
    </row>
    <row r="127" spans="2:20" ht="114.75">
      <c r="B127" s="6">
        <v>111</v>
      </c>
      <c r="C127" s="36" t="s">
        <v>714</v>
      </c>
      <c r="D127" s="37" t="s">
        <v>715</v>
      </c>
      <c r="E127" s="6" t="s">
        <v>1083</v>
      </c>
      <c r="F127" s="70" t="s">
        <v>374</v>
      </c>
      <c r="G127" s="70" t="s">
        <v>374</v>
      </c>
      <c r="H127" s="70" t="s">
        <v>1629</v>
      </c>
      <c r="I127" s="70" t="s">
        <v>1084</v>
      </c>
      <c r="J127" s="70" t="s">
        <v>193</v>
      </c>
      <c r="K127" s="70" t="s">
        <v>193</v>
      </c>
      <c r="L127" s="70" t="s">
        <v>595</v>
      </c>
      <c r="M127" s="6" t="s">
        <v>655</v>
      </c>
      <c r="N127" s="26">
        <v>50</v>
      </c>
      <c r="O127" s="57">
        <v>402</v>
      </c>
      <c r="P127" s="62">
        <f t="shared" si="1"/>
        <v>20100</v>
      </c>
      <c r="Q127" s="6" t="s">
        <v>395</v>
      </c>
      <c r="R127" s="6" t="s">
        <v>1481</v>
      </c>
      <c r="S127" s="38" t="s">
        <v>1179</v>
      </c>
      <c r="T127" s="26">
        <v>50</v>
      </c>
    </row>
    <row r="128" spans="2:20" ht="89.25">
      <c r="B128" s="6">
        <v>112</v>
      </c>
      <c r="C128" s="36" t="s">
        <v>714</v>
      </c>
      <c r="D128" s="37" t="s">
        <v>715</v>
      </c>
      <c r="E128" s="6" t="s">
        <v>649</v>
      </c>
      <c r="F128" s="70" t="s">
        <v>1630</v>
      </c>
      <c r="G128" s="70" t="s">
        <v>1631</v>
      </c>
      <c r="H128" s="70" t="s">
        <v>1632</v>
      </c>
      <c r="I128" s="70" t="s">
        <v>650</v>
      </c>
      <c r="J128" s="70" t="s">
        <v>1630</v>
      </c>
      <c r="K128" s="70" t="s">
        <v>10</v>
      </c>
      <c r="L128" s="70" t="s">
        <v>595</v>
      </c>
      <c r="M128" s="38" t="s">
        <v>648</v>
      </c>
      <c r="N128" s="26">
        <v>1</v>
      </c>
      <c r="O128" s="57">
        <v>1830</v>
      </c>
      <c r="P128" s="62">
        <f t="shared" si="1"/>
        <v>1830</v>
      </c>
      <c r="Q128" s="6" t="s">
        <v>395</v>
      </c>
      <c r="R128" s="6" t="s">
        <v>1481</v>
      </c>
      <c r="S128" s="38" t="s">
        <v>1179</v>
      </c>
      <c r="T128" s="26">
        <v>50</v>
      </c>
    </row>
    <row r="129" spans="2:20" ht="51">
      <c r="B129" s="6">
        <v>113</v>
      </c>
      <c r="C129" s="36" t="s">
        <v>714</v>
      </c>
      <c r="D129" s="37" t="s">
        <v>715</v>
      </c>
      <c r="E129" s="6" t="s">
        <v>1085</v>
      </c>
      <c r="F129" s="70" t="s">
        <v>1633</v>
      </c>
      <c r="G129" s="70" t="s">
        <v>375</v>
      </c>
      <c r="H129" s="70" t="s">
        <v>1634</v>
      </c>
      <c r="I129" s="70" t="s">
        <v>403</v>
      </c>
      <c r="J129" s="70" t="s">
        <v>1633</v>
      </c>
      <c r="K129" s="70" t="s">
        <v>194</v>
      </c>
      <c r="L129" s="70" t="s">
        <v>595</v>
      </c>
      <c r="M129" s="6" t="s">
        <v>655</v>
      </c>
      <c r="N129" s="26">
        <v>1</v>
      </c>
      <c r="O129" s="57">
        <v>625</v>
      </c>
      <c r="P129" s="62">
        <f t="shared" si="1"/>
        <v>625</v>
      </c>
      <c r="Q129" s="6" t="s">
        <v>395</v>
      </c>
      <c r="R129" s="6" t="s">
        <v>1481</v>
      </c>
      <c r="S129" s="38" t="s">
        <v>1179</v>
      </c>
      <c r="T129" s="26">
        <v>50</v>
      </c>
    </row>
    <row r="130" spans="2:20" ht="51">
      <c r="B130" s="6">
        <v>114</v>
      </c>
      <c r="C130" s="36" t="s">
        <v>714</v>
      </c>
      <c r="D130" s="37" t="s">
        <v>715</v>
      </c>
      <c r="E130" s="6" t="s">
        <v>653</v>
      </c>
      <c r="F130" s="70" t="s">
        <v>1633</v>
      </c>
      <c r="G130" s="70" t="s">
        <v>375</v>
      </c>
      <c r="H130" s="70" t="s">
        <v>1635</v>
      </c>
      <c r="I130" s="70" t="s">
        <v>654</v>
      </c>
      <c r="J130" s="70" t="s">
        <v>1636</v>
      </c>
      <c r="K130" s="70" t="s">
        <v>195</v>
      </c>
      <c r="L130" s="70" t="s">
        <v>595</v>
      </c>
      <c r="M130" s="6" t="s">
        <v>655</v>
      </c>
      <c r="N130" s="26">
        <v>1</v>
      </c>
      <c r="O130" s="57">
        <v>714</v>
      </c>
      <c r="P130" s="62">
        <f t="shared" si="1"/>
        <v>714</v>
      </c>
      <c r="Q130" s="6" t="s">
        <v>395</v>
      </c>
      <c r="R130" s="6" t="s">
        <v>1481</v>
      </c>
      <c r="S130" s="38" t="s">
        <v>1179</v>
      </c>
      <c r="T130" s="26">
        <v>50</v>
      </c>
    </row>
    <row r="131" spans="2:20" ht="51">
      <c r="B131" s="6">
        <v>115</v>
      </c>
      <c r="C131" s="36" t="s">
        <v>714</v>
      </c>
      <c r="D131" s="37" t="s">
        <v>715</v>
      </c>
      <c r="E131" s="6" t="s">
        <v>656</v>
      </c>
      <c r="F131" s="70" t="s">
        <v>1637</v>
      </c>
      <c r="G131" s="70" t="s">
        <v>657</v>
      </c>
      <c r="H131" s="70" t="s">
        <v>1638</v>
      </c>
      <c r="I131" s="70" t="s">
        <v>658</v>
      </c>
      <c r="J131" s="70" t="s">
        <v>1637</v>
      </c>
      <c r="K131" s="70" t="s">
        <v>376</v>
      </c>
      <c r="L131" s="70" t="s">
        <v>595</v>
      </c>
      <c r="M131" s="38" t="s">
        <v>648</v>
      </c>
      <c r="N131" s="26">
        <v>500</v>
      </c>
      <c r="O131" s="57">
        <v>250</v>
      </c>
      <c r="P131" s="62">
        <f t="shared" si="1"/>
        <v>125000</v>
      </c>
      <c r="Q131" s="6" t="s">
        <v>395</v>
      </c>
      <c r="R131" s="6" t="s">
        <v>1481</v>
      </c>
      <c r="S131" s="38" t="s">
        <v>1179</v>
      </c>
      <c r="T131" s="26">
        <v>50</v>
      </c>
    </row>
    <row r="132" spans="2:20" ht="89.25">
      <c r="B132" s="6">
        <v>116</v>
      </c>
      <c r="C132" s="36" t="s">
        <v>714</v>
      </c>
      <c r="D132" s="37" t="s">
        <v>715</v>
      </c>
      <c r="E132" s="6" t="s">
        <v>1086</v>
      </c>
      <c r="F132" s="70" t="s">
        <v>1639</v>
      </c>
      <c r="G132" s="70" t="s">
        <v>1087</v>
      </c>
      <c r="H132" s="70" t="s">
        <v>1640</v>
      </c>
      <c r="I132" s="70" t="s">
        <v>1088</v>
      </c>
      <c r="J132" s="70" t="s">
        <v>1641</v>
      </c>
      <c r="K132" s="70" t="s">
        <v>196</v>
      </c>
      <c r="L132" s="70" t="s">
        <v>595</v>
      </c>
      <c r="M132" s="38" t="s">
        <v>648</v>
      </c>
      <c r="N132" s="26">
        <v>50</v>
      </c>
      <c r="O132" s="57">
        <v>567</v>
      </c>
      <c r="P132" s="62">
        <f t="shared" si="1"/>
        <v>28350</v>
      </c>
      <c r="Q132" s="6" t="s">
        <v>395</v>
      </c>
      <c r="R132" s="6" t="s">
        <v>1481</v>
      </c>
      <c r="S132" s="38" t="s">
        <v>1179</v>
      </c>
      <c r="T132" s="26">
        <v>50</v>
      </c>
    </row>
    <row r="133" spans="2:20" ht="51">
      <c r="B133" s="6">
        <v>117</v>
      </c>
      <c r="C133" s="36" t="s">
        <v>714</v>
      </c>
      <c r="D133" s="37" t="s">
        <v>715</v>
      </c>
      <c r="E133" s="6" t="s">
        <v>1089</v>
      </c>
      <c r="F133" s="70" t="s">
        <v>11</v>
      </c>
      <c r="G133" s="70" t="s">
        <v>11</v>
      </c>
      <c r="H133" s="70" t="s">
        <v>1090</v>
      </c>
      <c r="I133" s="70" t="s">
        <v>1090</v>
      </c>
      <c r="J133" s="70" t="s">
        <v>11</v>
      </c>
      <c r="K133" s="70" t="s">
        <v>11</v>
      </c>
      <c r="L133" s="70" t="s">
        <v>595</v>
      </c>
      <c r="M133" s="6" t="s">
        <v>1486</v>
      </c>
      <c r="N133" s="26">
        <v>100</v>
      </c>
      <c r="O133" s="57">
        <v>223</v>
      </c>
      <c r="P133" s="62">
        <f t="shared" si="1"/>
        <v>22300</v>
      </c>
      <c r="Q133" s="6" t="s">
        <v>395</v>
      </c>
      <c r="R133" s="6" t="s">
        <v>1481</v>
      </c>
      <c r="S133" s="38" t="s">
        <v>1179</v>
      </c>
      <c r="T133" s="26">
        <v>50</v>
      </c>
    </row>
    <row r="134" spans="2:20" ht="102">
      <c r="B134" s="6">
        <v>118</v>
      </c>
      <c r="C134" s="36" t="s">
        <v>714</v>
      </c>
      <c r="D134" s="37" t="s">
        <v>715</v>
      </c>
      <c r="E134" s="6" t="s">
        <v>660</v>
      </c>
      <c r="F134" s="70" t="s">
        <v>771</v>
      </c>
      <c r="G134" s="70" t="s">
        <v>18</v>
      </c>
      <c r="H134" s="70" t="s">
        <v>1642</v>
      </c>
      <c r="I134" s="70" t="s">
        <v>661</v>
      </c>
      <c r="J134" s="70" t="s">
        <v>1643</v>
      </c>
      <c r="K134" s="70" t="s">
        <v>197</v>
      </c>
      <c r="L134" s="70" t="s">
        <v>595</v>
      </c>
      <c r="M134" s="38" t="s">
        <v>648</v>
      </c>
      <c r="N134" s="26">
        <v>4</v>
      </c>
      <c r="O134" s="57">
        <v>1161</v>
      </c>
      <c r="P134" s="62">
        <f t="shared" si="1"/>
        <v>4644</v>
      </c>
      <c r="Q134" s="6" t="s">
        <v>395</v>
      </c>
      <c r="R134" s="6" t="s">
        <v>1481</v>
      </c>
      <c r="S134" s="38" t="s">
        <v>1179</v>
      </c>
      <c r="T134" s="26">
        <v>50</v>
      </c>
    </row>
    <row r="135" spans="2:20" ht="51">
      <c r="B135" s="6">
        <v>119</v>
      </c>
      <c r="C135" s="36" t="s">
        <v>714</v>
      </c>
      <c r="D135" s="37" t="s">
        <v>715</v>
      </c>
      <c r="E135" s="6" t="s">
        <v>662</v>
      </c>
      <c r="F135" s="70" t="s">
        <v>378</v>
      </c>
      <c r="G135" s="70" t="s">
        <v>378</v>
      </c>
      <c r="H135" s="70" t="s">
        <v>1644</v>
      </c>
      <c r="I135" s="70" t="s">
        <v>663</v>
      </c>
      <c r="J135" s="70" t="s">
        <v>378</v>
      </c>
      <c r="K135" s="70" t="s">
        <v>198</v>
      </c>
      <c r="L135" s="70" t="s">
        <v>595</v>
      </c>
      <c r="M135" s="38" t="s">
        <v>648</v>
      </c>
      <c r="N135" s="26">
        <v>200</v>
      </c>
      <c r="O135" s="57">
        <v>223</v>
      </c>
      <c r="P135" s="62">
        <f t="shared" si="1"/>
        <v>44600</v>
      </c>
      <c r="Q135" s="6" t="s">
        <v>395</v>
      </c>
      <c r="R135" s="6" t="s">
        <v>1481</v>
      </c>
      <c r="S135" s="38" t="s">
        <v>1179</v>
      </c>
      <c r="T135" s="26">
        <v>50</v>
      </c>
    </row>
    <row r="136" spans="2:20" ht="51">
      <c r="B136" s="6">
        <v>120</v>
      </c>
      <c r="C136" s="36" t="s">
        <v>714</v>
      </c>
      <c r="D136" s="37" t="s">
        <v>715</v>
      </c>
      <c r="E136" s="6" t="s">
        <v>664</v>
      </c>
      <c r="F136" s="70" t="s">
        <v>836</v>
      </c>
      <c r="G136" s="70" t="s">
        <v>12</v>
      </c>
      <c r="H136" s="70" t="s">
        <v>1645</v>
      </c>
      <c r="I136" s="70" t="s">
        <v>665</v>
      </c>
      <c r="J136" s="70" t="s">
        <v>836</v>
      </c>
      <c r="K136" s="70" t="s">
        <v>12</v>
      </c>
      <c r="L136" s="70" t="s">
        <v>595</v>
      </c>
      <c r="M136" s="38" t="s">
        <v>648</v>
      </c>
      <c r="N136" s="26">
        <v>30</v>
      </c>
      <c r="O136" s="57">
        <v>1071</v>
      </c>
      <c r="P136" s="62">
        <f t="shared" si="1"/>
        <v>32130</v>
      </c>
      <c r="Q136" s="6" t="s">
        <v>395</v>
      </c>
      <c r="R136" s="6" t="s">
        <v>1481</v>
      </c>
      <c r="S136" s="38" t="s">
        <v>1179</v>
      </c>
      <c r="T136" s="26">
        <v>50</v>
      </c>
    </row>
    <row r="137" spans="2:20" ht="51">
      <c r="B137" s="6">
        <v>121</v>
      </c>
      <c r="C137" s="36" t="s">
        <v>714</v>
      </c>
      <c r="D137" s="37" t="s">
        <v>715</v>
      </c>
      <c r="E137" s="6" t="s">
        <v>1031</v>
      </c>
      <c r="F137" s="70" t="s">
        <v>2185</v>
      </c>
      <c r="G137" s="70" t="s">
        <v>199</v>
      </c>
      <c r="H137" s="70" t="s">
        <v>1646</v>
      </c>
      <c r="I137" s="70" t="s">
        <v>1032</v>
      </c>
      <c r="J137" s="70" t="s">
        <v>2185</v>
      </c>
      <c r="K137" s="70" t="s">
        <v>199</v>
      </c>
      <c r="L137" s="70" t="s">
        <v>595</v>
      </c>
      <c r="M137" s="38" t="s">
        <v>648</v>
      </c>
      <c r="N137" s="26">
        <v>2</v>
      </c>
      <c r="O137" s="57">
        <v>3125</v>
      </c>
      <c r="P137" s="62">
        <f t="shared" si="1"/>
        <v>6250</v>
      </c>
      <c r="Q137" s="6" t="s">
        <v>395</v>
      </c>
      <c r="R137" s="6" t="s">
        <v>1481</v>
      </c>
      <c r="S137" s="38" t="s">
        <v>1179</v>
      </c>
      <c r="T137" s="26">
        <v>50</v>
      </c>
    </row>
    <row r="138" spans="2:20" ht="51">
      <c r="B138" s="6">
        <v>122</v>
      </c>
      <c r="C138" s="36" t="s">
        <v>714</v>
      </c>
      <c r="D138" s="37" t="s">
        <v>715</v>
      </c>
      <c r="E138" s="6" t="s">
        <v>414</v>
      </c>
      <c r="F138" s="70" t="s">
        <v>837</v>
      </c>
      <c r="G138" s="70" t="s">
        <v>379</v>
      </c>
      <c r="H138" s="70" t="s">
        <v>1647</v>
      </c>
      <c r="I138" s="70" t="s">
        <v>415</v>
      </c>
      <c r="J138" s="70" t="s">
        <v>837</v>
      </c>
      <c r="K138" s="70" t="s">
        <v>200</v>
      </c>
      <c r="L138" s="70" t="s">
        <v>595</v>
      </c>
      <c r="M138" s="38" t="s">
        <v>648</v>
      </c>
      <c r="N138" s="26">
        <v>20</v>
      </c>
      <c r="O138" s="57">
        <v>2009</v>
      </c>
      <c r="P138" s="62">
        <f t="shared" si="1"/>
        <v>40180</v>
      </c>
      <c r="Q138" s="6" t="s">
        <v>395</v>
      </c>
      <c r="R138" s="6" t="s">
        <v>1481</v>
      </c>
      <c r="S138" s="38" t="s">
        <v>1179</v>
      </c>
      <c r="T138" s="26">
        <v>50</v>
      </c>
    </row>
    <row r="139" spans="2:20" ht="51">
      <c r="B139" s="6">
        <v>123</v>
      </c>
      <c r="C139" s="36" t="s">
        <v>714</v>
      </c>
      <c r="D139" s="37" t="s">
        <v>715</v>
      </c>
      <c r="E139" s="6" t="s">
        <v>1091</v>
      </c>
      <c r="F139" s="70" t="s">
        <v>1648</v>
      </c>
      <c r="G139" s="70" t="s">
        <v>467</v>
      </c>
      <c r="H139" s="70" t="s">
        <v>1649</v>
      </c>
      <c r="I139" s="70" t="s">
        <v>471</v>
      </c>
      <c r="J139" s="70" t="s">
        <v>1650</v>
      </c>
      <c r="K139" s="70" t="s">
        <v>201</v>
      </c>
      <c r="L139" s="70" t="s">
        <v>595</v>
      </c>
      <c r="M139" s="38" t="s">
        <v>648</v>
      </c>
      <c r="N139" s="26">
        <v>10</v>
      </c>
      <c r="O139" s="57">
        <v>1161</v>
      </c>
      <c r="P139" s="62">
        <f t="shared" si="1"/>
        <v>11610</v>
      </c>
      <c r="Q139" s="6" t="s">
        <v>395</v>
      </c>
      <c r="R139" s="6" t="s">
        <v>1481</v>
      </c>
      <c r="S139" s="38" t="s">
        <v>1179</v>
      </c>
      <c r="T139" s="26">
        <v>50</v>
      </c>
    </row>
    <row r="140" spans="2:20" ht="51">
      <c r="B140" s="6">
        <v>124</v>
      </c>
      <c r="C140" s="36" t="s">
        <v>714</v>
      </c>
      <c r="D140" s="37" t="s">
        <v>715</v>
      </c>
      <c r="E140" s="6" t="s">
        <v>671</v>
      </c>
      <c r="F140" s="70" t="s">
        <v>2192</v>
      </c>
      <c r="G140" s="70" t="s">
        <v>13</v>
      </c>
      <c r="H140" s="70" t="s">
        <v>2193</v>
      </c>
      <c r="I140" s="70" t="s">
        <v>672</v>
      </c>
      <c r="J140" s="70" t="s">
        <v>2192</v>
      </c>
      <c r="K140" s="70" t="s">
        <v>13</v>
      </c>
      <c r="L140" s="70" t="s">
        <v>595</v>
      </c>
      <c r="M140" s="38" t="s">
        <v>648</v>
      </c>
      <c r="N140" s="26">
        <v>10</v>
      </c>
      <c r="O140" s="57">
        <v>2946</v>
      </c>
      <c r="P140" s="62">
        <f t="shared" si="1"/>
        <v>29460</v>
      </c>
      <c r="Q140" s="6" t="s">
        <v>395</v>
      </c>
      <c r="R140" s="6" t="s">
        <v>1481</v>
      </c>
      <c r="S140" s="38" t="s">
        <v>1179</v>
      </c>
      <c r="T140" s="26">
        <v>50</v>
      </c>
    </row>
    <row r="141" spans="2:20" ht="51">
      <c r="B141" s="6">
        <v>125</v>
      </c>
      <c r="C141" s="36" t="s">
        <v>714</v>
      </c>
      <c r="D141" s="37" t="s">
        <v>715</v>
      </c>
      <c r="E141" s="6" t="s">
        <v>461</v>
      </c>
      <c r="F141" s="70" t="s">
        <v>17</v>
      </c>
      <c r="G141" s="70" t="s">
        <v>17</v>
      </c>
      <c r="H141" s="70" t="s">
        <v>1651</v>
      </c>
      <c r="I141" s="70" t="s">
        <v>462</v>
      </c>
      <c r="J141" s="70" t="s">
        <v>2300</v>
      </c>
      <c r="K141" s="70" t="s">
        <v>202</v>
      </c>
      <c r="L141" s="70" t="s">
        <v>595</v>
      </c>
      <c r="M141" s="38" t="s">
        <v>648</v>
      </c>
      <c r="N141" s="26">
        <v>1</v>
      </c>
      <c r="O141" s="57">
        <v>4464</v>
      </c>
      <c r="P141" s="62">
        <f t="shared" si="1"/>
        <v>4464</v>
      </c>
      <c r="Q141" s="6" t="s">
        <v>395</v>
      </c>
      <c r="R141" s="6" t="s">
        <v>1481</v>
      </c>
      <c r="S141" s="38" t="s">
        <v>1179</v>
      </c>
      <c r="T141" s="26">
        <v>50</v>
      </c>
    </row>
    <row r="142" spans="2:20" ht="51">
      <c r="B142" s="6">
        <v>126</v>
      </c>
      <c r="C142" s="36" t="s">
        <v>714</v>
      </c>
      <c r="D142" s="37" t="s">
        <v>715</v>
      </c>
      <c r="E142" s="6" t="s">
        <v>1092</v>
      </c>
      <c r="F142" s="70" t="s">
        <v>1093</v>
      </c>
      <c r="G142" s="70" t="s">
        <v>1093</v>
      </c>
      <c r="H142" s="70" t="s">
        <v>1652</v>
      </c>
      <c r="I142" s="70" t="s">
        <v>1094</v>
      </c>
      <c r="J142" s="70" t="s">
        <v>1653</v>
      </c>
      <c r="K142" s="70" t="s">
        <v>203</v>
      </c>
      <c r="L142" s="70" t="s">
        <v>595</v>
      </c>
      <c r="M142" s="38" t="s">
        <v>648</v>
      </c>
      <c r="N142" s="26">
        <v>200</v>
      </c>
      <c r="O142" s="57">
        <v>196</v>
      </c>
      <c r="P142" s="62">
        <f t="shared" si="1"/>
        <v>39200</v>
      </c>
      <c r="Q142" s="6" t="s">
        <v>397</v>
      </c>
      <c r="R142" s="6" t="s">
        <v>1481</v>
      </c>
      <c r="S142" s="38" t="s">
        <v>1179</v>
      </c>
      <c r="T142" s="26">
        <v>100</v>
      </c>
    </row>
    <row r="143" spans="2:20" ht="51">
      <c r="B143" s="6">
        <v>127</v>
      </c>
      <c r="C143" s="36" t="s">
        <v>714</v>
      </c>
      <c r="D143" s="37" t="s">
        <v>715</v>
      </c>
      <c r="E143" s="6" t="s">
        <v>1095</v>
      </c>
      <c r="F143" s="70" t="s">
        <v>1654</v>
      </c>
      <c r="G143" s="70" t="s">
        <v>1096</v>
      </c>
      <c r="H143" s="70" t="s">
        <v>1654</v>
      </c>
      <c r="I143" s="70" t="s">
        <v>1096</v>
      </c>
      <c r="J143" s="70" t="s">
        <v>1655</v>
      </c>
      <c r="K143" s="70" t="s">
        <v>204</v>
      </c>
      <c r="L143" s="70" t="s">
        <v>595</v>
      </c>
      <c r="M143" s="38" t="s">
        <v>648</v>
      </c>
      <c r="N143" s="26">
        <v>20</v>
      </c>
      <c r="O143" s="57">
        <f>P143/N143</f>
        <v>2534.5</v>
      </c>
      <c r="P143" s="62">
        <f>80360-29670</f>
        <v>50690</v>
      </c>
      <c r="Q143" s="6" t="s">
        <v>519</v>
      </c>
      <c r="R143" s="6" t="s">
        <v>1481</v>
      </c>
      <c r="S143" s="38" t="s">
        <v>1179</v>
      </c>
      <c r="T143" s="26">
        <v>100</v>
      </c>
    </row>
    <row r="144" spans="2:20" ht="51">
      <c r="B144" s="6">
        <v>128</v>
      </c>
      <c r="C144" s="36" t="s">
        <v>714</v>
      </c>
      <c r="D144" s="37" t="s">
        <v>715</v>
      </c>
      <c r="E144" s="6" t="s">
        <v>1097</v>
      </c>
      <c r="F144" s="70" t="s">
        <v>1656</v>
      </c>
      <c r="G144" s="70" t="s">
        <v>1098</v>
      </c>
      <c r="H144" s="70" t="s">
        <v>1657</v>
      </c>
      <c r="I144" s="70" t="s">
        <v>1099</v>
      </c>
      <c r="J144" s="70" t="s">
        <v>1658</v>
      </c>
      <c r="K144" s="70" t="s">
        <v>14</v>
      </c>
      <c r="L144" s="70" t="s">
        <v>595</v>
      </c>
      <c r="M144" s="6" t="s">
        <v>1485</v>
      </c>
      <c r="N144" s="26">
        <v>50</v>
      </c>
      <c r="O144" s="57">
        <v>759</v>
      </c>
      <c r="P144" s="62">
        <f t="shared" si="1"/>
        <v>37950</v>
      </c>
      <c r="Q144" s="6" t="s">
        <v>592</v>
      </c>
      <c r="R144" s="6" t="s">
        <v>1481</v>
      </c>
      <c r="S144" s="38" t="s">
        <v>1179</v>
      </c>
      <c r="T144" s="26">
        <v>100</v>
      </c>
    </row>
    <row r="145" spans="2:20" ht="63.75">
      <c r="B145" s="6">
        <v>129</v>
      </c>
      <c r="C145" s="36" t="s">
        <v>714</v>
      </c>
      <c r="D145" s="37" t="s">
        <v>715</v>
      </c>
      <c r="E145" s="6" t="s">
        <v>1100</v>
      </c>
      <c r="F145" s="70" t="s">
        <v>1659</v>
      </c>
      <c r="G145" s="70" t="s">
        <v>1101</v>
      </c>
      <c r="H145" s="70" t="s">
        <v>1660</v>
      </c>
      <c r="I145" s="70" t="s">
        <v>1102</v>
      </c>
      <c r="J145" s="70" t="s">
        <v>1661</v>
      </c>
      <c r="K145" s="70" t="s">
        <v>15</v>
      </c>
      <c r="L145" s="70" t="s">
        <v>595</v>
      </c>
      <c r="M145" s="6" t="s">
        <v>655</v>
      </c>
      <c r="N145" s="26">
        <v>4</v>
      </c>
      <c r="O145" s="57">
        <v>2232</v>
      </c>
      <c r="P145" s="62">
        <f t="shared" ref="P145:P208" si="2">N145*O145</f>
        <v>8928</v>
      </c>
      <c r="Q145" s="6" t="s">
        <v>397</v>
      </c>
      <c r="R145" s="6" t="s">
        <v>397</v>
      </c>
      <c r="S145" s="38" t="s">
        <v>1179</v>
      </c>
      <c r="T145" s="26">
        <v>100</v>
      </c>
    </row>
    <row r="146" spans="2:20" ht="51">
      <c r="B146" s="6">
        <v>130</v>
      </c>
      <c r="C146" s="36" t="s">
        <v>714</v>
      </c>
      <c r="D146" s="37" t="s">
        <v>715</v>
      </c>
      <c r="E146" s="6" t="s">
        <v>1388</v>
      </c>
      <c r="F146" s="70" t="s">
        <v>1389</v>
      </c>
      <c r="G146" s="70" t="s">
        <v>1389</v>
      </c>
      <c r="H146" s="70" t="s">
        <v>1390</v>
      </c>
      <c r="I146" s="70" t="s">
        <v>1391</v>
      </c>
      <c r="J146" s="70" t="s">
        <v>1392</v>
      </c>
      <c r="K146" s="70" t="s">
        <v>30</v>
      </c>
      <c r="L146" s="70" t="s">
        <v>595</v>
      </c>
      <c r="M146" s="38" t="s">
        <v>648</v>
      </c>
      <c r="N146" s="26">
        <v>6</v>
      </c>
      <c r="O146" s="57">
        <v>3571</v>
      </c>
      <c r="P146" s="62">
        <f t="shared" si="2"/>
        <v>21426</v>
      </c>
      <c r="Q146" s="6" t="s">
        <v>505</v>
      </c>
      <c r="R146" s="6" t="s">
        <v>1481</v>
      </c>
      <c r="S146" s="38" t="s">
        <v>1179</v>
      </c>
      <c r="T146" s="26">
        <v>100</v>
      </c>
    </row>
    <row r="147" spans="2:20" ht="51">
      <c r="B147" s="6">
        <v>131</v>
      </c>
      <c r="C147" s="36" t="s">
        <v>714</v>
      </c>
      <c r="D147" s="37" t="s">
        <v>715</v>
      </c>
      <c r="E147" s="6" t="s">
        <v>1393</v>
      </c>
      <c r="F147" s="70" t="s">
        <v>1662</v>
      </c>
      <c r="G147" s="70" t="s">
        <v>1394</v>
      </c>
      <c r="H147" s="70" t="s">
        <v>1663</v>
      </c>
      <c r="I147" s="70" t="s">
        <v>1395</v>
      </c>
      <c r="J147" s="70" t="s">
        <v>1664</v>
      </c>
      <c r="K147" s="70" t="s">
        <v>31</v>
      </c>
      <c r="L147" s="70" t="s">
        <v>595</v>
      </c>
      <c r="M147" s="6" t="s">
        <v>1487</v>
      </c>
      <c r="N147" s="26">
        <v>6</v>
      </c>
      <c r="O147" s="57">
        <v>893</v>
      </c>
      <c r="P147" s="62">
        <f t="shared" si="2"/>
        <v>5358</v>
      </c>
      <c r="Q147" s="6" t="s">
        <v>505</v>
      </c>
      <c r="R147" s="6" t="s">
        <v>1481</v>
      </c>
      <c r="S147" s="38" t="s">
        <v>1179</v>
      </c>
      <c r="T147" s="26">
        <v>100</v>
      </c>
    </row>
    <row r="148" spans="2:20" ht="63.75">
      <c r="B148" s="6">
        <v>132</v>
      </c>
      <c r="C148" s="36" t="s">
        <v>714</v>
      </c>
      <c r="D148" s="37" t="s">
        <v>715</v>
      </c>
      <c r="E148" s="6" t="s">
        <v>1377</v>
      </c>
      <c r="F148" s="70" t="s">
        <v>1376</v>
      </c>
      <c r="G148" s="70" t="s">
        <v>609</v>
      </c>
      <c r="H148" s="70" t="s">
        <v>1665</v>
      </c>
      <c r="I148" s="70" t="s">
        <v>1378</v>
      </c>
      <c r="J148" s="70" t="s">
        <v>1666</v>
      </c>
      <c r="K148" s="70" t="s">
        <v>205</v>
      </c>
      <c r="L148" s="70" t="s">
        <v>595</v>
      </c>
      <c r="M148" s="6" t="s">
        <v>1483</v>
      </c>
      <c r="N148" s="26">
        <v>2400</v>
      </c>
      <c r="O148" s="57">
        <v>76</v>
      </c>
      <c r="P148" s="62">
        <f t="shared" si="2"/>
        <v>182400</v>
      </c>
      <c r="Q148" s="6" t="s">
        <v>397</v>
      </c>
      <c r="R148" s="6" t="s">
        <v>1481</v>
      </c>
      <c r="S148" s="38" t="s">
        <v>1179</v>
      </c>
      <c r="T148" s="26">
        <v>100</v>
      </c>
    </row>
    <row r="149" spans="2:20" ht="63.75">
      <c r="B149" s="6">
        <v>133</v>
      </c>
      <c r="C149" s="36" t="s">
        <v>714</v>
      </c>
      <c r="D149" s="37" t="s">
        <v>715</v>
      </c>
      <c r="E149" s="6" t="s">
        <v>607</v>
      </c>
      <c r="F149" s="70" t="s">
        <v>608</v>
      </c>
      <c r="G149" s="70" t="s">
        <v>609</v>
      </c>
      <c r="H149" s="70" t="s">
        <v>610</v>
      </c>
      <c r="I149" s="70" t="s">
        <v>611</v>
      </c>
      <c r="J149" s="70" t="s">
        <v>2264</v>
      </c>
      <c r="K149" s="70" t="s">
        <v>612</v>
      </c>
      <c r="L149" s="70" t="s">
        <v>595</v>
      </c>
      <c r="M149" s="6" t="s">
        <v>1483</v>
      </c>
      <c r="N149" s="26">
        <v>250</v>
      </c>
      <c r="O149" s="57">
        <v>446</v>
      </c>
      <c r="P149" s="62">
        <f t="shared" si="2"/>
        <v>111500</v>
      </c>
      <c r="Q149" s="6" t="s">
        <v>616</v>
      </c>
      <c r="R149" s="6" t="s">
        <v>770</v>
      </c>
      <c r="S149" s="38" t="s">
        <v>1179</v>
      </c>
      <c r="T149" s="26">
        <v>0</v>
      </c>
    </row>
    <row r="150" spans="2:20" ht="51">
      <c r="B150" s="6">
        <v>134</v>
      </c>
      <c r="C150" s="36" t="s">
        <v>714</v>
      </c>
      <c r="D150" s="37" t="s">
        <v>715</v>
      </c>
      <c r="E150" s="6" t="s">
        <v>1396</v>
      </c>
      <c r="F150" s="70" t="s">
        <v>1667</v>
      </c>
      <c r="G150" s="70" t="s">
        <v>1397</v>
      </c>
      <c r="H150" s="70" t="s">
        <v>1669</v>
      </c>
      <c r="I150" s="70" t="s">
        <v>1668</v>
      </c>
      <c r="J150" s="70" t="s">
        <v>1671</v>
      </c>
      <c r="K150" s="70" t="s">
        <v>1670</v>
      </c>
      <c r="L150" s="70" t="s">
        <v>595</v>
      </c>
      <c r="M150" s="6" t="s">
        <v>1485</v>
      </c>
      <c r="N150" s="26">
        <v>12</v>
      </c>
      <c r="O150" s="57">
        <v>268</v>
      </c>
      <c r="P150" s="62">
        <f t="shared" si="2"/>
        <v>3216</v>
      </c>
      <c r="Q150" s="6" t="s">
        <v>703</v>
      </c>
      <c r="R150" s="6" t="s">
        <v>770</v>
      </c>
      <c r="S150" s="38" t="s">
        <v>1179</v>
      </c>
      <c r="T150" s="26">
        <v>100</v>
      </c>
    </row>
    <row r="151" spans="2:20" ht="51">
      <c r="B151" s="6">
        <v>135</v>
      </c>
      <c r="C151" s="36" t="s">
        <v>714</v>
      </c>
      <c r="D151" s="37" t="s">
        <v>715</v>
      </c>
      <c r="E151" s="6" t="s">
        <v>1398</v>
      </c>
      <c r="F151" s="70" t="s">
        <v>1399</v>
      </c>
      <c r="G151" s="70" t="s">
        <v>1400</v>
      </c>
      <c r="H151" s="70" t="s">
        <v>1401</v>
      </c>
      <c r="I151" s="70" t="s">
        <v>1402</v>
      </c>
      <c r="J151" s="70" t="s">
        <v>1672</v>
      </c>
      <c r="K151" s="70" t="s">
        <v>206</v>
      </c>
      <c r="L151" s="70" t="s">
        <v>595</v>
      </c>
      <c r="M151" s="38" t="s">
        <v>648</v>
      </c>
      <c r="N151" s="26">
        <v>525</v>
      </c>
      <c r="O151" s="57">
        <v>134</v>
      </c>
      <c r="P151" s="62">
        <f t="shared" si="2"/>
        <v>70350</v>
      </c>
      <c r="Q151" s="6" t="s">
        <v>505</v>
      </c>
      <c r="R151" s="6" t="s">
        <v>1481</v>
      </c>
      <c r="S151" s="38" t="s">
        <v>1179</v>
      </c>
      <c r="T151" s="26">
        <v>100</v>
      </c>
    </row>
    <row r="152" spans="2:20" ht="114.75">
      <c r="B152" s="6">
        <v>136</v>
      </c>
      <c r="C152" s="36" t="s">
        <v>714</v>
      </c>
      <c r="D152" s="37" t="s">
        <v>715</v>
      </c>
      <c r="E152" s="6" t="s">
        <v>1382</v>
      </c>
      <c r="F152" s="70" t="s">
        <v>392</v>
      </c>
      <c r="G152" s="70" t="s">
        <v>392</v>
      </c>
      <c r="H152" s="70" t="s">
        <v>1673</v>
      </c>
      <c r="I152" s="70" t="s">
        <v>1383</v>
      </c>
      <c r="J152" s="70" t="s">
        <v>1674</v>
      </c>
      <c r="K152" s="70" t="s">
        <v>241</v>
      </c>
      <c r="L152" s="70" t="s">
        <v>595</v>
      </c>
      <c r="M152" s="38" t="s">
        <v>648</v>
      </c>
      <c r="N152" s="26">
        <v>4</v>
      </c>
      <c r="O152" s="57">
        <v>26786</v>
      </c>
      <c r="P152" s="62">
        <f t="shared" si="2"/>
        <v>107144</v>
      </c>
      <c r="Q152" s="6" t="s">
        <v>519</v>
      </c>
      <c r="R152" s="6" t="s">
        <v>1481</v>
      </c>
      <c r="S152" s="38" t="s">
        <v>1179</v>
      </c>
      <c r="T152" s="26">
        <v>0</v>
      </c>
    </row>
    <row r="153" spans="2:20" ht="114.75">
      <c r="B153" s="6">
        <v>137</v>
      </c>
      <c r="C153" s="36" t="s">
        <v>714</v>
      </c>
      <c r="D153" s="37" t="s">
        <v>715</v>
      </c>
      <c r="E153" s="6" t="s">
        <v>1382</v>
      </c>
      <c r="F153" s="70" t="s">
        <v>392</v>
      </c>
      <c r="G153" s="70" t="s">
        <v>392</v>
      </c>
      <c r="H153" s="70" t="s">
        <v>1673</v>
      </c>
      <c r="I153" s="70" t="s">
        <v>1383</v>
      </c>
      <c r="J153" s="70" t="s">
        <v>1675</v>
      </c>
      <c r="K153" s="70" t="s">
        <v>240</v>
      </c>
      <c r="L153" s="70" t="s">
        <v>595</v>
      </c>
      <c r="M153" s="38" t="s">
        <v>648</v>
      </c>
      <c r="N153" s="26">
        <v>4</v>
      </c>
      <c r="O153" s="57">
        <v>26786</v>
      </c>
      <c r="P153" s="62">
        <f t="shared" si="2"/>
        <v>107144</v>
      </c>
      <c r="Q153" s="6" t="s">
        <v>519</v>
      </c>
      <c r="R153" s="6" t="s">
        <v>1481</v>
      </c>
      <c r="S153" s="38" t="s">
        <v>1179</v>
      </c>
      <c r="T153" s="26">
        <v>0</v>
      </c>
    </row>
    <row r="154" spans="2:20" ht="114.75">
      <c r="B154" s="6">
        <v>138</v>
      </c>
      <c r="C154" s="36" t="s">
        <v>714</v>
      </c>
      <c r="D154" s="37" t="s">
        <v>715</v>
      </c>
      <c r="E154" s="6" t="s">
        <v>1382</v>
      </c>
      <c r="F154" s="70" t="s">
        <v>392</v>
      </c>
      <c r="G154" s="70" t="s">
        <v>392</v>
      </c>
      <c r="H154" s="70" t="s">
        <v>1673</v>
      </c>
      <c r="I154" s="70" t="s">
        <v>1383</v>
      </c>
      <c r="J154" s="70" t="s">
        <v>1675</v>
      </c>
      <c r="K154" s="70" t="s">
        <v>240</v>
      </c>
      <c r="L154" s="70" t="s">
        <v>595</v>
      </c>
      <c r="M154" s="38" t="s">
        <v>648</v>
      </c>
      <c r="N154" s="26">
        <v>4</v>
      </c>
      <c r="O154" s="57">
        <v>26786</v>
      </c>
      <c r="P154" s="62">
        <f t="shared" si="2"/>
        <v>107144</v>
      </c>
      <c r="Q154" s="6" t="s">
        <v>519</v>
      </c>
      <c r="R154" s="6" t="s">
        <v>1481</v>
      </c>
      <c r="S154" s="38" t="s">
        <v>1179</v>
      </c>
      <c r="T154" s="26">
        <v>0</v>
      </c>
    </row>
    <row r="155" spans="2:20" ht="114.75">
      <c r="B155" s="6">
        <v>139</v>
      </c>
      <c r="C155" s="36" t="s">
        <v>714</v>
      </c>
      <c r="D155" s="37" t="s">
        <v>715</v>
      </c>
      <c r="E155" s="6" t="s">
        <v>1382</v>
      </c>
      <c r="F155" s="70" t="s">
        <v>392</v>
      </c>
      <c r="G155" s="70" t="s">
        <v>392</v>
      </c>
      <c r="H155" s="70" t="s">
        <v>1673</v>
      </c>
      <c r="I155" s="70" t="s">
        <v>1383</v>
      </c>
      <c r="J155" s="70" t="s">
        <v>1676</v>
      </c>
      <c r="K155" s="70" t="s">
        <v>1533</v>
      </c>
      <c r="L155" s="70" t="s">
        <v>595</v>
      </c>
      <c r="M155" s="38" t="s">
        <v>648</v>
      </c>
      <c r="N155" s="26">
        <v>4</v>
      </c>
      <c r="O155" s="57">
        <v>26786</v>
      </c>
      <c r="P155" s="62">
        <f t="shared" si="2"/>
        <v>107144</v>
      </c>
      <c r="Q155" s="6" t="s">
        <v>519</v>
      </c>
      <c r="R155" s="6" t="s">
        <v>1481</v>
      </c>
      <c r="S155" s="38" t="s">
        <v>1179</v>
      </c>
      <c r="T155" s="26">
        <v>0</v>
      </c>
    </row>
    <row r="156" spans="2:20" ht="114.75">
      <c r="B156" s="6">
        <v>140</v>
      </c>
      <c r="C156" s="36" t="s">
        <v>714</v>
      </c>
      <c r="D156" s="37" t="s">
        <v>715</v>
      </c>
      <c r="E156" s="6" t="s">
        <v>1384</v>
      </c>
      <c r="F156" s="70" t="s">
        <v>392</v>
      </c>
      <c r="G156" s="70" t="s">
        <v>392</v>
      </c>
      <c r="H156" s="70" t="s">
        <v>1673</v>
      </c>
      <c r="I156" s="70" t="s">
        <v>1385</v>
      </c>
      <c r="J156" s="70" t="s">
        <v>1677</v>
      </c>
      <c r="K156" s="70" t="s">
        <v>238</v>
      </c>
      <c r="L156" s="70" t="s">
        <v>595</v>
      </c>
      <c r="M156" s="38" t="s">
        <v>648</v>
      </c>
      <c r="N156" s="26">
        <v>4</v>
      </c>
      <c r="O156" s="57">
        <v>26786</v>
      </c>
      <c r="P156" s="62">
        <f t="shared" si="2"/>
        <v>107144</v>
      </c>
      <c r="Q156" s="6" t="s">
        <v>519</v>
      </c>
      <c r="R156" s="6" t="s">
        <v>1481</v>
      </c>
      <c r="S156" s="38" t="s">
        <v>1179</v>
      </c>
      <c r="T156" s="26">
        <v>0</v>
      </c>
    </row>
    <row r="157" spans="2:20" ht="114.75">
      <c r="B157" s="6">
        <v>141</v>
      </c>
      <c r="C157" s="36" t="s">
        <v>714</v>
      </c>
      <c r="D157" s="37" t="s">
        <v>715</v>
      </c>
      <c r="E157" s="6" t="s">
        <v>1384</v>
      </c>
      <c r="F157" s="70" t="s">
        <v>392</v>
      </c>
      <c r="G157" s="70" t="s">
        <v>392</v>
      </c>
      <c r="H157" s="70" t="s">
        <v>1673</v>
      </c>
      <c r="I157" s="70" t="s">
        <v>1385</v>
      </c>
      <c r="J157" s="70" t="s">
        <v>1677</v>
      </c>
      <c r="K157" s="70" t="s">
        <v>239</v>
      </c>
      <c r="L157" s="70" t="s">
        <v>595</v>
      </c>
      <c r="M157" s="38" t="s">
        <v>648</v>
      </c>
      <c r="N157" s="26">
        <v>4</v>
      </c>
      <c r="O157" s="57">
        <v>26786</v>
      </c>
      <c r="P157" s="62">
        <f t="shared" si="2"/>
        <v>107144</v>
      </c>
      <c r="Q157" s="6" t="s">
        <v>519</v>
      </c>
      <c r="R157" s="6" t="s">
        <v>1481</v>
      </c>
      <c r="S157" s="38" t="s">
        <v>1179</v>
      </c>
      <c r="T157" s="26">
        <v>0</v>
      </c>
    </row>
    <row r="158" spans="2:20" ht="102">
      <c r="B158" s="6">
        <v>142</v>
      </c>
      <c r="C158" s="36" t="s">
        <v>714</v>
      </c>
      <c r="D158" s="37" t="s">
        <v>715</v>
      </c>
      <c r="E158" s="6" t="s">
        <v>634</v>
      </c>
      <c r="F158" s="70" t="s">
        <v>635</v>
      </c>
      <c r="G158" s="70" t="s">
        <v>635</v>
      </c>
      <c r="H158" s="70" t="s">
        <v>806</v>
      </c>
      <c r="I158" s="70" t="s">
        <v>636</v>
      </c>
      <c r="J158" s="70" t="s">
        <v>2108</v>
      </c>
      <c r="K158" s="70" t="s">
        <v>98</v>
      </c>
      <c r="L158" s="70" t="s">
        <v>595</v>
      </c>
      <c r="M158" s="38" t="s">
        <v>648</v>
      </c>
      <c r="N158" s="26">
        <v>6</v>
      </c>
      <c r="O158" s="57">
        <v>47619</v>
      </c>
      <c r="P158" s="62">
        <f t="shared" si="2"/>
        <v>285714</v>
      </c>
      <c r="Q158" s="6" t="s">
        <v>510</v>
      </c>
      <c r="R158" s="6" t="s">
        <v>770</v>
      </c>
      <c r="S158" s="38" t="s">
        <v>2038</v>
      </c>
      <c r="T158" s="26">
        <v>100</v>
      </c>
    </row>
    <row r="159" spans="2:20" ht="102">
      <c r="B159" s="6">
        <v>143</v>
      </c>
      <c r="C159" s="16" t="s">
        <v>714</v>
      </c>
      <c r="D159" s="37" t="s">
        <v>715</v>
      </c>
      <c r="E159" s="6" t="s">
        <v>634</v>
      </c>
      <c r="F159" s="70" t="s">
        <v>635</v>
      </c>
      <c r="G159" s="70" t="s">
        <v>635</v>
      </c>
      <c r="H159" s="70" t="s">
        <v>806</v>
      </c>
      <c r="I159" s="70" t="s">
        <v>636</v>
      </c>
      <c r="J159" s="70" t="s">
        <v>2108</v>
      </c>
      <c r="K159" s="70" t="s">
        <v>98</v>
      </c>
      <c r="L159" s="70" t="s">
        <v>595</v>
      </c>
      <c r="M159" s="38" t="s">
        <v>648</v>
      </c>
      <c r="N159" s="26">
        <v>6</v>
      </c>
      <c r="O159" s="57">
        <v>47619</v>
      </c>
      <c r="P159" s="62">
        <f t="shared" si="2"/>
        <v>285714</v>
      </c>
      <c r="Q159" s="6" t="s">
        <v>592</v>
      </c>
      <c r="R159" s="6" t="s">
        <v>1055</v>
      </c>
      <c r="S159" s="38" t="s">
        <v>1025</v>
      </c>
      <c r="T159" s="6">
        <v>100</v>
      </c>
    </row>
    <row r="160" spans="2:20" ht="102">
      <c r="B160" s="6">
        <v>144</v>
      </c>
      <c r="C160" s="16" t="s">
        <v>714</v>
      </c>
      <c r="D160" s="37" t="s">
        <v>715</v>
      </c>
      <c r="E160" s="6" t="s">
        <v>634</v>
      </c>
      <c r="F160" s="70" t="s">
        <v>635</v>
      </c>
      <c r="G160" s="70" t="s">
        <v>635</v>
      </c>
      <c r="H160" s="70" t="s">
        <v>806</v>
      </c>
      <c r="I160" s="70" t="s">
        <v>636</v>
      </c>
      <c r="J160" s="70" t="s">
        <v>2108</v>
      </c>
      <c r="K160" s="70" t="s">
        <v>98</v>
      </c>
      <c r="L160" s="70" t="s">
        <v>595</v>
      </c>
      <c r="M160" s="38" t="s">
        <v>648</v>
      </c>
      <c r="N160" s="26">
        <v>6</v>
      </c>
      <c r="O160" s="57">
        <v>47619</v>
      </c>
      <c r="P160" s="62">
        <f t="shared" si="2"/>
        <v>285714</v>
      </c>
      <c r="Q160" s="6" t="s">
        <v>505</v>
      </c>
      <c r="R160" s="15" t="s">
        <v>1479</v>
      </c>
      <c r="S160" s="38" t="s">
        <v>793</v>
      </c>
      <c r="T160" s="6">
        <v>100</v>
      </c>
    </row>
    <row r="161" spans="1:20" s="14" customFormat="1" ht="102">
      <c r="A161" s="17"/>
      <c r="B161" s="6">
        <v>145</v>
      </c>
      <c r="C161" s="16" t="s">
        <v>714</v>
      </c>
      <c r="D161" s="37" t="s">
        <v>715</v>
      </c>
      <c r="E161" s="6" t="s">
        <v>634</v>
      </c>
      <c r="F161" s="70" t="s">
        <v>635</v>
      </c>
      <c r="G161" s="70" t="s">
        <v>635</v>
      </c>
      <c r="H161" s="70" t="s">
        <v>806</v>
      </c>
      <c r="I161" s="70" t="s">
        <v>636</v>
      </c>
      <c r="J161" s="70" t="s">
        <v>2108</v>
      </c>
      <c r="K161" s="70" t="s">
        <v>98</v>
      </c>
      <c r="L161" s="70" t="s">
        <v>595</v>
      </c>
      <c r="M161" s="38" t="s">
        <v>648</v>
      </c>
      <c r="N161" s="26">
        <v>6</v>
      </c>
      <c r="O161" s="57">
        <v>47619</v>
      </c>
      <c r="P161" s="62">
        <f t="shared" si="2"/>
        <v>285714</v>
      </c>
      <c r="Q161" s="6" t="s">
        <v>505</v>
      </c>
      <c r="R161" s="6" t="s">
        <v>1055</v>
      </c>
      <c r="S161" s="38" t="s">
        <v>2031</v>
      </c>
      <c r="T161" s="26">
        <v>100</v>
      </c>
    </row>
    <row r="162" spans="1:20" ht="102">
      <c r="B162" s="6">
        <v>146</v>
      </c>
      <c r="C162" s="16" t="s">
        <v>714</v>
      </c>
      <c r="D162" s="37" t="s">
        <v>715</v>
      </c>
      <c r="E162" s="6" t="s">
        <v>634</v>
      </c>
      <c r="F162" s="70" t="s">
        <v>635</v>
      </c>
      <c r="G162" s="70" t="s">
        <v>635</v>
      </c>
      <c r="H162" s="70" t="s">
        <v>806</v>
      </c>
      <c r="I162" s="70" t="s">
        <v>636</v>
      </c>
      <c r="J162" s="70" t="s">
        <v>2108</v>
      </c>
      <c r="K162" s="70" t="s">
        <v>98</v>
      </c>
      <c r="L162" s="70" t="s">
        <v>595</v>
      </c>
      <c r="M162" s="38" t="s">
        <v>648</v>
      </c>
      <c r="N162" s="26">
        <v>6</v>
      </c>
      <c r="O162" s="57">
        <v>47619</v>
      </c>
      <c r="P162" s="62">
        <f t="shared" si="2"/>
        <v>285714</v>
      </c>
      <c r="Q162" s="6" t="s">
        <v>505</v>
      </c>
      <c r="R162" s="6" t="s">
        <v>1055</v>
      </c>
      <c r="S162" s="38" t="s">
        <v>637</v>
      </c>
      <c r="T162" s="26">
        <v>30</v>
      </c>
    </row>
    <row r="163" spans="1:20" ht="102">
      <c r="B163" s="6">
        <v>147</v>
      </c>
      <c r="C163" s="16" t="s">
        <v>714</v>
      </c>
      <c r="D163" s="37" t="s">
        <v>715</v>
      </c>
      <c r="E163" s="6" t="s">
        <v>634</v>
      </c>
      <c r="F163" s="70" t="s">
        <v>635</v>
      </c>
      <c r="G163" s="70" t="s">
        <v>635</v>
      </c>
      <c r="H163" s="70" t="s">
        <v>806</v>
      </c>
      <c r="I163" s="70" t="s">
        <v>636</v>
      </c>
      <c r="J163" s="70" t="s">
        <v>2108</v>
      </c>
      <c r="K163" s="70" t="s">
        <v>98</v>
      </c>
      <c r="L163" s="70" t="s">
        <v>595</v>
      </c>
      <c r="M163" s="38" t="s">
        <v>648</v>
      </c>
      <c r="N163" s="26">
        <v>6</v>
      </c>
      <c r="O163" s="57">
        <v>47619</v>
      </c>
      <c r="P163" s="62">
        <f t="shared" si="2"/>
        <v>285714</v>
      </c>
      <c r="Q163" s="6" t="s">
        <v>590</v>
      </c>
      <c r="R163" s="6" t="s">
        <v>770</v>
      </c>
      <c r="S163" s="38">
        <v>311000000</v>
      </c>
      <c r="T163" s="26">
        <v>30</v>
      </c>
    </row>
    <row r="164" spans="1:20" ht="102">
      <c r="B164" s="6">
        <v>148</v>
      </c>
      <c r="C164" s="16" t="s">
        <v>714</v>
      </c>
      <c r="D164" s="37" t="s">
        <v>715</v>
      </c>
      <c r="E164" s="6" t="s">
        <v>634</v>
      </c>
      <c r="F164" s="70" t="s">
        <v>635</v>
      </c>
      <c r="G164" s="70" t="s">
        <v>635</v>
      </c>
      <c r="H164" s="70" t="s">
        <v>806</v>
      </c>
      <c r="I164" s="70" t="s">
        <v>636</v>
      </c>
      <c r="J164" s="70" t="s">
        <v>2108</v>
      </c>
      <c r="K164" s="70" t="s">
        <v>98</v>
      </c>
      <c r="L164" s="70" t="s">
        <v>595</v>
      </c>
      <c r="M164" s="38" t="s">
        <v>648</v>
      </c>
      <c r="N164" s="26">
        <v>6</v>
      </c>
      <c r="O164" s="57">
        <f>P164/N164</f>
        <v>0</v>
      </c>
      <c r="P164" s="62">
        <f>285714-285714</f>
        <v>0</v>
      </c>
      <c r="Q164" s="6" t="s">
        <v>519</v>
      </c>
      <c r="R164" s="6" t="s">
        <v>770</v>
      </c>
      <c r="S164" s="38" t="s">
        <v>2032</v>
      </c>
      <c r="T164" s="6">
        <v>30</v>
      </c>
    </row>
    <row r="165" spans="1:20" ht="102">
      <c r="B165" s="6">
        <v>149</v>
      </c>
      <c r="C165" s="16" t="s">
        <v>714</v>
      </c>
      <c r="D165" s="37" t="s">
        <v>715</v>
      </c>
      <c r="E165" s="6" t="s">
        <v>634</v>
      </c>
      <c r="F165" s="70" t="s">
        <v>635</v>
      </c>
      <c r="G165" s="70" t="s">
        <v>635</v>
      </c>
      <c r="H165" s="70" t="s">
        <v>806</v>
      </c>
      <c r="I165" s="70" t="s">
        <v>636</v>
      </c>
      <c r="J165" s="70" t="s">
        <v>2108</v>
      </c>
      <c r="K165" s="70" t="s">
        <v>98</v>
      </c>
      <c r="L165" s="70" t="s">
        <v>595</v>
      </c>
      <c r="M165" s="38" t="s">
        <v>648</v>
      </c>
      <c r="N165" s="26">
        <v>6</v>
      </c>
      <c r="O165" s="57">
        <v>47619</v>
      </c>
      <c r="P165" s="62">
        <f t="shared" si="2"/>
        <v>285714</v>
      </c>
      <c r="Q165" s="6" t="s">
        <v>505</v>
      </c>
      <c r="R165" s="6" t="s">
        <v>1055</v>
      </c>
      <c r="S165" s="38">
        <v>351000000</v>
      </c>
      <c r="T165" s="26">
        <v>30</v>
      </c>
    </row>
    <row r="166" spans="1:20" ht="102">
      <c r="B166" s="6">
        <v>150</v>
      </c>
      <c r="C166" s="16" t="s">
        <v>714</v>
      </c>
      <c r="D166" s="37" t="s">
        <v>715</v>
      </c>
      <c r="E166" s="6" t="s">
        <v>634</v>
      </c>
      <c r="F166" s="70" t="s">
        <v>635</v>
      </c>
      <c r="G166" s="70" t="s">
        <v>635</v>
      </c>
      <c r="H166" s="70" t="s">
        <v>806</v>
      </c>
      <c r="I166" s="70" t="s">
        <v>636</v>
      </c>
      <c r="J166" s="70" t="s">
        <v>2108</v>
      </c>
      <c r="K166" s="70" t="s">
        <v>98</v>
      </c>
      <c r="L166" s="70" t="s">
        <v>595</v>
      </c>
      <c r="M166" s="38" t="s">
        <v>648</v>
      </c>
      <c r="N166" s="26">
        <v>6</v>
      </c>
      <c r="O166" s="57">
        <v>47619</v>
      </c>
      <c r="P166" s="62">
        <f t="shared" si="2"/>
        <v>285714</v>
      </c>
      <c r="Q166" s="6" t="s">
        <v>592</v>
      </c>
      <c r="R166" s="15" t="s">
        <v>1479</v>
      </c>
      <c r="S166" s="38" t="s">
        <v>929</v>
      </c>
      <c r="T166" s="26">
        <v>50</v>
      </c>
    </row>
    <row r="167" spans="1:20" ht="114.75">
      <c r="B167" s="6">
        <v>151</v>
      </c>
      <c r="C167" s="16" t="s">
        <v>714</v>
      </c>
      <c r="D167" s="37" t="s">
        <v>715</v>
      </c>
      <c r="E167" s="6" t="s">
        <v>391</v>
      </c>
      <c r="F167" s="70" t="s">
        <v>392</v>
      </c>
      <c r="G167" s="70" t="s">
        <v>392</v>
      </c>
      <c r="H167" s="70" t="s">
        <v>2109</v>
      </c>
      <c r="I167" s="70" t="s">
        <v>393</v>
      </c>
      <c r="J167" s="70" t="s">
        <v>2110</v>
      </c>
      <c r="K167" s="70" t="s">
        <v>394</v>
      </c>
      <c r="L167" s="70" t="s">
        <v>595</v>
      </c>
      <c r="M167" s="38" t="s">
        <v>648</v>
      </c>
      <c r="N167" s="26">
        <v>4</v>
      </c>
      <c r="O167" s="57">
        <v>45000</v>
      </c>
      <c r="P167" s="62">
        <f t="shared" si="2"/>
        <v>180000</v>
      </c>
      <c r="Q167" s="6" t="s">
        <v>395</v>
      </c>
      <c r="R167" s="15" t="s">
        <v>1479</v>
      </c>
      <c r="S167" s="38">
        <v>431000000</v>
      </c>
      <c r="T167" s="26">
        <v>100</v>
      </c>
    </row>
    <row r="168" spans="1:20" ht="51.75" customHeight="1">
      <c r="B168" s="6">
        <v>152</v>
      </c>
      <c r="C168" s="36" t="s">
        <v>714</v>
      </c>
      <c r="D168" s="37" t="s">
        <v>715</v>
      </c>
      <c r="E168" s="6" t="s">
        <v>634</v>
      </c>
      <c r="F168" s="70" t="s">
        <v>635</v>
      </c>
      <c r="G168" s="70" t="s">
        <v>635</v>
      </c>
      <c r="H168" s="70" t="s">
        <v>806</v>
      </c>
      <c r="I168" s="70" t="s">
        <v>636</v>
      </c>
      <c r="J168" s="70" t="s">
        <v>2108</v>
      </c>
      <c r="K168" s="70" t="s">
        <v>98</v>
      </c>
      <c r="L168" s="70" t="s">
        <v>595</v>
      </c>
      <c r="M168" s="38" t="s">
        <v>648</v>
      </c>
      <c r="N168" s="26">
        <v>6</v>
      </c>
      <c r="O168" s="57">
        <v>47619</v>
      </c>
      <c r="P168" s="62">
        <f t="shared" si="2"/>
        <v>285714</v>
      </c>
      <c r="Q168" s="6" t="s">
        <v>519</v>
      </c>
      <c r="R168" s="6" t="s">
        <v>616</v>
      </c>
      <c r="S168" s="38" t="s">
        <v>719</v>
      </c>
      <c r="T168" s="26">
        <v>50</v>
      </c>
    </row>
    <row r="169" spans="1:20" s="39" customFormat="1" ht="127.5">
      <c r="B169" s="6">
        <v>153</v>
      </c>
      <c r="C169" s="16" t="s">
        <v>714</v>
      </c>
      <c r="D169" s="37" t="s">
        <v>715</v>
      </c>
      <c r="E169" s="6" t="s">
        <v>2379</v>
      </c>
      <c r="F169" s="70" t="s">
        <v>392</v>
      </c>
      <c r="G169" s="70" t="s">
        <v>392</v>
      </c>
      <c r="H169" s="70" t="s">
        <v>2381</v>
      </c>
      <c r="I169" s="70" t="s">
        <v>2380</v>
      </c>
      <c r="J169" s="70" t="s">
        <v>2110</v>
      </c>
      <c r="K169" s="70" t="s">
        <v>394</v>
      </c>
      <c r="L169" s="70" t="s">
        <v>595</v>
      </c>
      <c r="M169" s="38" t="s">
        <v>648</v>
      </c>
      <c r="N169" s="26">
        <v>4</v>
      </c>
      <c r="O169" s="57">
        <v>44643</v>
      </c>
      <c r="P169" s="62">
        <f t="shared" si="2"/>
        <v>178572</v>
      </c>
      <c r="Q169" s="6" t="s">
        <v>616</v>
      </c>
      <c r="R169" s="6" t="s">
        <v>505</v>
      </c>
      <c r="S169" s="38">
        <v>551000000</v>
      </c>
      <c r="T169" s="26">
        <v>100</v>
      </c>
    </row>
    <row r="170" spans="1:20" ht="102">
      <c r="B170" s="6">
        <v>154</v>
      </c>
      <c r="C170" s="16" t="s">
        <v>714</v>
      </c>
      <c r="D170" s="37" t="s">
        <v>715</v>
      </c>
      <c r="E170" s="6" t="s">
        <v>634</v>
      </c>
      <c r="F170" s="70" t="s">
        <v>635</v>
      </c>
      <c r="G170" s="70" t="s">
        <v>635</v>
      </c>
      <c r="H170" s="70" t="s">
        <v>806</v>
      </c>
      <c r="I170" s="70" t="s">
        <v>636</v>
      </c>
      <c r="J170" s="70" t="s">
        <v>2108</v>
      </c>
      <c r="K170" s="70" t="s">
        <v>98</v>
      </c>
      <c r="L170" s="70" t="s">
        <v>595</v>
      </c>
      <c r="M170" s="38" t="s">
        <v>648</v>
      </c>
      <c r="N170" s="26">
        <v>6</v>
      </c>
      <c r="O170" s="57">
        <v>47619</v>
      </c>
      <c r="P170" s="62">
        <f t="shared" si="2"/>
        <v>285714</v>
      </c>
      <c r="Q170" s="6" t="s">
        <v>506</v>
      </c>
      <c r="R170" s="6" t="s">
        <v>506</v>
      </c>
      <c r="S170" s="38" t="s">
        <v>2037</v>
      </c>
      <c r="T170" s="6">
        <v>50</v>
      </c>
    </row>
    <row r="171" spans="1:20" ht="102">
      <c r="B171" s="6">
        <v>155</v>
      </c>
      <c r="C171" s="36" t="s">
        <v>714</v>
      </c>
      <c r="D171" s="37" t="s">
        <v>715</v>
      </c>
      <c r="E171" s="6" t="s">
        <v>769</v>
      </c>
      <c r="F171" s="70" t="s">
        <v>2174</v>
      </c>
      <c r="G171" s="70" t="s">
        <v>396</v>
      </c>
      <c r="H171" s="70" t="s">
        <v>2176</v>
      </c>
      <c r="I171" s="70" t="s">
        <v>2175</v>
      </c>
      <c r="J171" s="70" t="s">
        <v>2177</v>
      </c>
      <c r="K171" s="70" t="s">
        <v>99</v>
      </c>
      <c r="L171" s="70" t="s">
        <v>595</v>
      </c>
      <c r="M171" s="6" t="s">
        <v>1485</v>
      </c>
      <c r="N171" s="26">
        <v>12465</v>
      </c>
      <c r="O171" s="57">
        <v>104</v>
      </c>
      <c r="P171" s="62">
        <f t="shared" si="2"/>
        <v>1296360</v>
      </c>
      <c r="Q171" s="6" t="s">
        <v>397</v>
      </c>
      <c r="R171" s="6" t="s">
        <v>770</v>
      </c>
      <c r="S171" s="38" t="s">
        <v>2038</v>
      </c>
      <c r="T171" s="26">
        <v>100</v>
      </c>
    </row>
    <row r="172" spans="1:20" ht="102">
      <c r="B172" s="6">
        <v>156</v>
      </c>
      <c r="C172" s="36" t="s">
        <v>714</v>
      </c>
      <c r="D172" s="37" t="s">
        <v>715</v>
      </c>
      <c r="E172" s="6" t="s">
        <v>769</v>
      </c>
      <c r="F172" s="70" t="s">
        <v>2174</v>
      </c>
      <c r="G172" s="70" t="s">
        <v>396</v>
      </c>
      <c r="H172" s="70" t="s">
        <v>2176</v>
      </c>
      <c r="I172" s="70" t="s">
        <v>2175</v>
      </c>
      <c r="J172" s="70" t="s">
        <v>2177</v>
      </c>
      <c r="K172" s="70" t="s">
        <v>99</v>
      </c>
      <c r="L172" s="70" t="s">
        <v>595</v>
      </c>
      <c r="M172" s="6" t="s">
        <v>1485</v>
      </c>
      <c r="N172" s="26">
        <v>9349</v>
      </c>
      <c r="O172" s="57">
        <v>104</v>
      </c>
      <c r="P172" s="62">
        <f t="shared" si="2"/>
        <v>972296</v>
      </c>
      <c r="Q172" s="6" t="s">
        <v>397</v>
      </c>
      <c r="R172" s="6" t="s">
        <v>770</v>
      </c>
      <c r="S172" s="38" t="s">
        <v>1025</v>
      </c>
      <c r="T172" s="6">
        <v>100</v>
      </c>
    </row>
    <row r="173" spans="1:20" ht="102">
      <c r="B173" s="6">
        <v>157</v>
      </c>
      <c r="C173" s="36" t="s">
        <v>714</v>
      </c>
      <c r="D173" s="37" t="s">
        <v>715</v>
      </c>
      <c r="E173" s="6" t="s">
        <v>769</v>
      </c>
      <c r="F173" s="70" t="s">
        <v>2174</v>
      </c>
      <c r="G173" s="70" t="s">
        <v>396</v>
      </c>
      <c r="H173" s="70" t="s">
        <v>2176</v>
      </c>
      <c r="I173" s="70" t="s">
        <v>2175</v>
      </c>
      <c r="J173" s="70" t="s">
        <v>2177</v>
      </c>
      <c r="K173" s="70" t="s">
        <v>99</v>
      </c>
      <c r="L173" s="70" t="s">
        <v>595</v>
      </c>
      <c r="M173" s="6" t="s">
        <v>1485</v>
      </c>
      <c r="N173" s="26">
        <v>15960</v>
      </c>
      <c r="O173" s="57">
        <v>104</v>
      </c>
      <c r="P173" s="62">
        <f t="shared" si="2"/>
        <v>1659840</v>
      </c>
      <c r="Q173" s="6" t="s">
        <v>397</v>
      </c>
      <c r="R173" s="6" t="s">
        <v>770</v>
      </c>
      <c r="S173" s="38" t="s">
        <v>793</v>
      </c>
      <c r="T173" s="6">
        <v>100</v>
      </c>
    </row>
    <row r="174" spans="1:20" s="14" customFormat="1" ht="102">
      <c r="A174" s="17"/>
      <c r="B174" s="6">
        <v>158</v>
      </c>
      <c r="C174" s="36" t="s">
        <v>714</v>
      </c>
      <c r="D174" s="37" t="s">
        <v>715</v>
      </c>
      <c r="E174" s="6" t="s">
        <v>769</v>
      </c>
      <c r="F174" s="70" t="s">
        <v>2174</v>
      </c>
      <c r="G174" s="70" t="s">
        <v>396</v>
      </c>
      <c r="H174" s="70" t="s">
        <v>2176</v>
      </c>
      <c r="I174" s="70" t="s">
        <v>2175</v>
      </c>
      <c r="J174" s="70" t="s">
        <v>2177</v>
      </c>
      <c r="K174" s="70" t="s">
        <v>99</v>
      </c>
      <c r="L174" s="70" t="s">
        <v>595</v>
      </c>
      <c r="M174" s="6" t="s">
        <v>1485</v>
      </c>
      <c r="N174" s="26">
        <v>12180</v>
      </c>
      <c r="O174" s="57">
        <v>104</v>
      </c>
      <c r="P174" s="62">
        <f t="shared" si="2"/>
        <v>1266720</v>
      </c>
      <c r="Q174" s="6" t="s">
        <v>519</v>
      </c>
      <c r="R174" s="6" t="s">
        <v>770</v>
      </c>
      <c r="S174" s="38" t="s">
        <v>2031</v>
      </c>
      <c r="T174" s="26">
        <v>100</v>
      </c>
    </row>
    <row r="175" spans="1:20" ht="102">
      <c r="B175" s="6">
        <v>159</v>
      </c>
      <c r="C175" s="36" t="s">
        <v>714</v>
      </c>
      <c r="D175" s="37" t="s">
        <v>715</v>
      </c>
      <c r="E175" s="6" t="s">
        <v>769</v>
      </c>
      <c r="F175" s="70" t="s">
        <v>2174</v>
      </c>
      <c r="G175" s="70" t="s">
        <v>396</v>
      </c>
      <c r="H175" s="70" t="s">
        <v>2176</v>
      </c>
      <c r="I175" s="70" t="s">
        <v>2175</v>
      </c>
      <c r="J175" s="70" t="s">
        <v>2177</v>
      </c>
      <c r="K175" s="70" t="s">
        <v>99</v>
      </c>
      <c r="L175" s="70" t="s">
        <v>595</v>
      </c>
      <c r="M175" s="6" t="s">
        <v>1485</v>
      </c>
      <c r="N175" s="26">
        <v>15742</v>
      </c>
      <c r="O175" s="57">
        <v>104</v>
      </c>
      <c r="P175" s="62">
        <f t="shared" si="2"/>
        <v>1637168</v>
      </c>
      <c r="Q175" s="6" t="s">
        <v>397</v>
      </c>
      <c r="R175" s="6" t="s">
        <v>770</v>
      </c>
      <c r="S175" s="38" t="s">
        <v>637</v>
      </c>
      <c r="T175" s="26">
        <v>100</v>
      </c>
    </row>
    <row r="176" spans="1:20" ht="102">
      <c r="B176" s="6">
        <v>160</v>
      </c>
      <c r="C176" s="36" t="s">
        <v>714</v>
      </c>
      <c r="D176" s="37" t="s">
        <v>715</v>
      </c>
      <c r="E176" s="6" t="s">
        <v>769</v>
      </c>
      <c r="F176" s="70" t="s">
        <v>2174</v>
      </c>
      <c r="G176" s="70" t="s">
        <v>396</v>
      </c>
      <c r="H176" s="70" t="s">
        <v>2176</v>
      </c>
      <c r="I176" s="70" t="s">
        <v>2175</v>
      </c>
      <c r="J176" s="70" t="s">
        <v>2177</v>
      </c>
      <c r="K176" s="70" t="s">
        <v>99</v>
      </c>
      <c r="L176" s="70" t="s">
        <v>595</v>
      </c>
      <c r="M176" s="6" t="s">
        <v>1485</v>
      </c>
      <c r="N176" s="26">
        <v>12001</v>
      </c>
      <c r="O176" s="57">
        <v>104</v>
      </c>
      <c r="P176" s="62">
        <f t="shared" si="2"/>
        <v>1248104</v>
      </c>
      <c r="Q176" s="6" t="s">
        <v>397</v>
      </c>
      <c r="R176" s="6" t="s">
        <v>770</v>
      </c>
      <c r="S176" s="38">
        <v>311000000</v>
      </c>
      <c r="T176" s="26">
        <v>100</v>
      </c>
    </row>
    <row r="177" spans="2:20" ht="102">
      <c r="B177" s="6">
        <v>161</v>
      </c>
      <c r="C177" s="36" t="s">
        <v>714</v>
      </c>
      <c r="D177" s="37" t="s">
        <v>715</v>
      </c>
      <c r="E177" s="6" t="s">
        <v>769</v>
      </c>
      <c r="F177" s="70" t="s">
        <v>2174</v>
      </c>
      <c r="G177" s="70" t="s">
        <v>396</v>
      </c>
      <c r="H177" s="70" t="s">
        <v>2176</v>
      </c>
      <c r="I177" s="70" t="s">
        <v>2175</v>
      </c>
      <c r="J177" s="70" t="s">
        <v>2177</v>
      </c>
      <c r="K177" s="70" t="s">
        <v>99</v>
      </c>
      <c r="L177" s="70" t="s">
        <v>595</v>
      </c>
      <c r="M177" s="6" t="s">
        <v>1485</v>
      </c>
      <c r="N177" s="26">
        <v>9349</v>
      </c>
      <c r="O177" s="57">
        <v>104</v>
      </c>
      <c r="P177" s="62">
        <f t="shared" si="2"/>
        <v>972296</v>
      </c>
      <c r="Q177" s="6" t="s">
        <v>397</v>
      </c>
      <c r="R177" s="6" t="s">
        <v>770</v>
      </c>
      <c r="S177" s="38" t="s">
        <v>2032</v>
      </c>
      <c r="T177" s="6">
        <v>100</v>
      </c>
    </row>
    <row r="178" spans="2:20" ht="102">
      <c r="B178" s="6">
        <v>162</v>
      </c>
      <c r="C178" s="36" t="s">
        <v>714</v>
      </c>
      <c r="D178" s="37" t="s">
        <v>715</v>
      </c>
      <c r="E178" s="6" t="s">
        <v>769</v>
      </c>
      <c r="F178" s="70" t="s">
        <v>2174</v>
      </c>
      <c r="G178" s="70" t="s">
        <v>396</v>
      </c>
      <c r="H178" s="70" t="s">
        <v>2176</v>
      </c>
      <c r="I178" s="70" t="s">
        <v>2175</v>
      </c>
      <c r="J178" s="70" t="s">
        <v>2177</v>
      </c>
      <c r="K178" s="70" t="s">
        <v>99</v>
      </c>
      <c r="L178" s="70" t="s">
        <v>595</v>
      </c>
      <c r="M178" s="6" t="s">
        <v>1485</v>
      </c>
      <c r="N178" s="26">
        <v>15421</v>
      </c>
      <c r="O178" s="57">
        <v>104</v>
      </c>
      <c r="P178" s="62">
        <f t="shared" si="2"/>
        <v>1603784</v>
      </c>
      <c r="Q178" s="6" t="s">
        <v>397</v>
      </c>
      <c r="R178" s="6" t="s">
        <v>770</v>
      </c>
      <c r="S178" s="38">
        <v>351000000</v>
      </c>
      <c r="T178" s="26">
        <v>100</v>
      </c>
    </row>
    <row r="179" spans="2:20" ht="75" customHeight="1">
      <c r="B179" s="6">
        <v>163</v>
      </c>
      <c r="C179" s="36" t="s">
        <v>714</v>
      </c>
      <c r="D179" s="37" t="s">
        <v>715</v>
      </c>
      <c r="E179" s="6" t="s">
        <v>769</v>
      </c>
      <c r="F179" s="70" t="s">
        <v>2174</v>
      </c>
      <c r="G179" s="70" t="s">
        <v>396</v>
      </c>
      <c r="H179" s="70" t="s">
        <v>2176</v>
      </c>
      <c r="I179" s="70" t="s">
        <v>2175</v>
      </c>
      <c r="J179" s="70" t="s">
        <v>2177</v>
      </c>
      <c r="K179" s="70" t="s">
        <v>99</v>
      </c>
      <c r="L179" s="70" t="s">
        <v>595</v>
      </c>
      <c r="M179" s="6" t="s">
        <v>1485</v>
      </c>
      <c r="N179" s="26">
        <v>2493</v>
      </c>
      <c r="O179" s="57">
        <v>104</v>
      </c>
      <c r="P179" s="62">
        <f t="shared" si="2"/>
        <v>259272</v>
      </c>
      <c r="Q179" s="6" t="s">
        <v>395</v>
      </c>
      <c r="R179" s="6" t="s">
        <v>770</v>
      </c>
      <c r="S179" s="38" t="s">
        <v>929</v>
      </c>
      <c r="T179" s="26">
        <v>100</v>
      </c>
    </row>
    <row r="180" spans="2:20" ht="102">
      <c r="B180" s="6">
        <v>164</v>
      </c>
      <c r="C180" s="36" t="s">
        <v>714</v>
      </c>
      <c r="D180" s="37" t="s">
        <v>715</v>
      </c>
      <c r="E180" s="12" t="s">
        <v>769</v>
      </c>
      <c r="F180" s="70" t="s">
        <v>2174</v>
      </c>
      <c r="G180" s="70" t="s">
        <v>396</v>
      </c>
      <c r="H180" s="70" t="s">
        <v>2176</v>
      </c>
      <c r="I180" s="70" t="s">
        <v>2175</v>
      </c>
      <c r="J180" s="70" t="s">
        <v>2177</v>
      </c>
      <c r="K180" s="70" t="s">
        <v>99</v>
      </c>
      <c r="L180" s="70" t="s">
        <v>595</v>
      </c>
      <c r="M180" s="6" t="s">
        <v>1485</v>
      </c>
      <c r="N180" s="26">
        <v>9972</v>
      </c>
      <c r="O180" s="57">
        <v>104</v>
      </c>
      <c r="P180" s="62">
        <f t="shared" si="2"/>
        <v>1037088</v>
      </c>
      <c r="Q180" s="6" t="s">
        <v>395</v>
      </c>
      <c r="R180" s="6" t="s">
        <v>770</v>
      </c>
      <c r="S180" s="38" t="s">
        <v>929</v>
      </c>
      <c r="T180" s="26">
        <v>100</v>
      </c>
    </row>
    <row r="181" spans="2:20" ht="102">
      <c r="B181" s="6">
        <v>165</v>
      </c>
      <c r="C181" s="36" t="s">
        <v>714</v>
      </c>
      <c r="D181" s="37" t="s">
        <v>715</v>
      </c>
      <c r="E181" s="6" t="s">
        <v>769</v>
      </c>
      <c r="F181" s="70" t="s">
        <v>2174</v>
      </c>
      <c r="G181" s="70" t="s">
        <v>396</v>
      </c>
      <c r="H181" s="70" t="s">
        <v>2176</v>
      </c>
      <c r="I181" s="70" t="s">
        <v>2175</v>
      </c>
      <c r="J181" s="70" t="s">
        <v>2177</v>
      </c>
      <c r="K181" s="70" t="s">
        <v>99</v>
      </c>
      <c r="L181" s="70" t="s">
        <v>595</v>
      </c>
      <c r="M181" s="6" t="s">
        <v>1485</v>
      </c>
      <c r="N181" s="26">
        <v>9135</v>
      </c>
      <c r="O181" s="57">
        <v>104</v>
      </c>
      <c r="P181" s="62">
        <f t="shared" si="2"/>
        <v>950040</v>
      </c>
      <c r="Q181" s="6" t="s">
        <v>397</v>
      </c>
      <c r="R181" s="6" t="s">
        <v>770</v>
      </c>
      <c r="S181" s="38">
        <v>431000000</v>
      </c>
      <c r="T181" s="26">
        <v>30</v>
      </c>
    </row>
    <row r="182" spans="2:20" ht="42" customHeight="1">
      <c r="B182" s="6">
        <v>166</v>
      </c>
      <c r="C182" s="36" t="s">
        <v>714</v>
      </c>
      <c r="D182" s="37" t="s">
        <v>715</v>
      </c>
      <c r="E182" s="6" t="s">
        <v>769</v>
      </c>
      <c r="F182" s="70" t="s">
        <v>2174</v>
      </c>
      <c r="G182" s="70" t="s">
        <v>396</v>
      </c>
      <c r="H182" s="70" t="s">
        <v>2176</v>
      </c>
      <c r="I182" s="70" t="s">
        <v>2175</v>
      </c>
      <c r="J182" s="70" t="s">
        <v>2177</v>
      </c>
      <c r="K182" s="70" t="s">
        <v>99</v>
      </c>
      <c r="L182" s="70" t="s">
        <v>595</v>
      </c>
      <c r="M182" s="6" t="s">
        <v>1485</v>
      </c>
      <c r="N182" s="26">
        <v>8400</v>
      </c>
      <c r="O182" s="57">
        <v>111</v>
      </c>
      <c r="P182" s="62">
        <f t="shared" si="2"/>
        <v>932400</v>
      </c>
      <c r="Q182" s="6" t="s">
        <v>519</v>
      </c>
      <c r="R182" s="6" t="s">
        <v>770</v>
      </c>
      <c r="S182" s="38" t="s">
        <v>719</v>
      </c>
      <c r="T182" s="26">
        <v>100</v>
      </c>
    </row>
    <row r="183" spans="2:20" s="39" customFormat="1" ht="102">
      <c r="B183" s="6">
        <v>167</v>
      </c>
      <c r="C183" s="36" t="s">
        <v>714</v>
      </c>
      <c r="D183" s="37" t="s">
        <v>715</v>
      </c>
      <c r="E183" s="6" t="s">
        <v>769</v>
      </c>
      <c r="F183" s="70" t="s">
        <v>2174</v>
      </c>
      <c r="G183" s="70" t="s">
        <v>396</v>
      </c>
      <c r="H183" s="70" t="s">
        <v>2176</v>
      </c>
      <c r="I183" s="70" t="s">
        <v>2175</v>
      </c>
      <c r="J183" s="70" t="s">
        <v>2177</v>
      </c>
      <c r="K183" s="70" t="s">
        <v>99</v>
      </c>
      <c r="L183" s="70" t="s">
        <v>595</v>
      </c>
      <c r="M183" s="6" t="s">
        <v>1485</v>
      </c>
      <c r="N183" s="26">
        <v>12465</v>
      </c>
      <c r="O183" s="57">
        <v>104</v>
      </c>
      <c r="P183" s="62">
        <f t="shared" si="2"/>
        <v>1296360</v>
      </c>
      <c r="Q183" s="6" t="s">
        <v>505</v>
      </c>
      <c r="R183" s="6" t="s">
        <v>398</v>
      </c>
      <c r="S183" s="38">
        <v>551000000</v>
      </c>
      <c r="T183" s="26">
        <v>100</v>
      </c>
    </row>
    <row r="184" spans="2:20" ht="102">
      <c r="B184" s="6">
        <v>168</v>
      </c>
      <c r="C184" s="36" t="s">
        <v>714</v>
      </c>
      <c r="D184" s="37" t="s">
        <v>715</v>
      </c>
      <c r="E184" s="6" t="s">
        <v>769</v>
      </c>
      <c r="F184" s="70" t="s">
        <v>2174</v>
      </c>
      <c r="G184" s="70" t="s">
        <v>396</v>
      </c>
      <c r="H184" s="70" t="s">
        <v>2176</v>
      </c>
      <c r="I184" s="70" t="s">
        <v>2175</v>
      </c>
      <c r="J184" s="70" t="s">
        <v>2177</v>
      </c>
      <c r="K184" s="70" t="s">
        <v>99</v>
      </c>
      <c r="L184" s="70" t="s">
        <v>595</v>
      </c>
      <c r="M184" s="6" t="s">
        <v>1485</v>
      </c>
      <c r="N184" s="26">
        <v>12465</v>
      </c>
      <c r="O184" s="57">
        <v>104</v>
      </c>
      <c r="P184" s="62">
        <f t="shared" si="2"/>
        <v>1296360</v>
      </c>
      <c r="Q184" s="6" t="s">
        <v>395</v>
      </c>
      <c r="R184" s="6" t="s">
        <v>770</v>
      </c>
      <c r="S184" s="38">
        <v>591000000</v>
      </c>
      <c r="T184" s="26">
        <v>100</v>
      </c>
    </row>
    <row r="185" spans="2:20" ht="102">
      <c r="B185" s="6">
        <v>169</v>
      </c>
      <c r="C185" s="36" t="s">
        <v>714</v>
      </c>
      <c r="D185" s="37" t="s">
        <v>715</v>
      </c>
      <c r="E185" s="6" t="s">
        <v>769</v>
      </c>
      <c r="F185" s="70" t="s">
        <v>2174</v>
      </c>
      <c r="G185" s="70" t="s">
        <v>396</v>
      </c>
      <c r="H185" s="70" t="s">
        <v>2176</v>
      </c>
      <c r="I185" s="70" t="s">
        <v>2175</v>
      </c>
      <c r="J185" s="70" t="s">
        <v>2177</v>
      </c>
      <c r="K185" s="70" t="s">
        <v>99</v>
      </c>
      <c r="L185" s="70" t="s">
        <v>595</v>
      </c>
      <c r="M185" s="6" t="s">
        <v>1485</v>
      </c>
      <c r="N185" s="26">
        <v>9001</v>
      </c>
      <c r="O185" s="57">
        <v>104</v>
      </c>
      <c r="P185" s="62">
        <f t="shared" si="2"/>
        <v>936104</v>
      </c>
      <c r="Q185" s="6" t="s">
        <v>397</v>
      </c>
      <c r="R185" s="6" t="s">
        <v>770</v>
      </c>
      <c r="S185" s="38" t="s">
        <v>2037</v>
      </c>
      <c r="T185" s="6">
        <v>100</v>
      </c>
    </row>
    <row r="186" spans="2:20" ht="63.75">
      <c r="B186" s="6">
        <v>170</v>
      </c>
      <c r="C186" s="36" t="s">
        <v>714</v>
      </c>
      <c r="D186" s="37" t="s">
        <v>715</v>
      </c>
      <c r="E186" s="6" t="s">
        <v>807</v>
      </c>
      <c r="F186" s="70" t="s">
        <v>808</v>
      </c>
      <c r="G186" s="70" t="s">
        <v>368</v>
      </c>
      <c r="H186" s="70" t="s">
        <v>809</v>
      </c>
      <c r="I186" s="70" t="s">
        <v>810</v>
      </c>
      <c r="J186" s="70" t="s">
        <v>808</v>
      </c>
      <c r="K186" s="70" t="s">
        <v>368</v>
      </c>
      <c r="L186" s="70" t="s">
        <v>595</v>
      </c>
      <c r="M186" s="38" t="s">
        <v>648</v>
      </c>
      <c r="N186" s="26">
        <v>5</v>
      </c>
      <c r="O186" s="57">
        <v>313</v>
      </c>
      <c r="P186" s="62">
        <f t="shared" si="2"/>
        <v>1565</v>
      </c>
      <c r="Q186" s="6" t="s">
        <v>519</v>
      </c>
      <c r="R186" s="6" t="s">
        <v>770</v>
      </c>
      <c r="S186" s="38" t="s">
        <v>2038</v>
      </c>
      <c r="T186" s="26">
        <v>100</v>
      </c>
    </row>
    <row r="187" spans="2:20" ht="51">
      <c r="B187" s="6">
        <v>171</v>
      </c>
      <c r="C187" s="36" t="s">
        <v>714</v>
      </c>
      <c r="D187" s="37" t="s">
        <v>715</v>
      </c>
      <c r="E187" s="12" t="s">
        <v>811</v>
      </c>
      <c r="F187" s="70" t="s">
        <v>1602</v>
      </c>
      <c r="G187" s="70" t="s">
        <v>2387</v>
      </c>
      <c r="H187" s="70" t="s">
        <v>1603</v>
      </c>
      <c r="I187" s="70" t="s">
        <v>812</v>
      </c>
      <c r="J187" s="70" t="s">
        <v>1604</v>
      </c>
      <c r="K187" s="70" t="s">
        <v>5</v>
      </c>
      <c r="L187" s="70" t="s">
        <v>595</v>
      </c>
      <c r="M187" s="38" t="s">
        <v>648</v>
      </c>
      <c r="N187" s="26">
        <v>2</v>
      </c>
      <c r="O187" s="57">
        <v>714</v>
      </c>
      <c r="P187" s="62">
        <f t="shared" si="2"/>
        <v>1428</v>
      </c>
      <c r="Q187" s="6" t="s">
        <v>519</v>
      </c>
      <c r="R187" s="6" t="s">
        <v>770</v>
      </c>
      <c r="S187" s="38" t="s">
        <v>2038</v>
      </c>
      <c r="T187" s="26">
        <v>100</v>
      </c>
    </row>
    <row r="188" spans="2:20" ht="51">
      <c r="B188" s="6">
        <v>172</v>
      </c>
      <c r="C188" s="36" t="s">
        <v>714</v>
      </c>
      <c r="D188" s="37" t="s">
        <v>715</v>
      </c>
      <c r="E188" s="12" t="s">
        <v>956</v>
      </c>
      <c r="F188" s="70" t="s">
        <v>2178</v>
      </c>
      <c r="G188" s="70" t="s">
        <v>957</v>
      </c>
      <c r="H188" s="70" t="s">
        <v>2178</v>
      </c>
      <c r="I188" s="70" t="s">
        <v>957</v>
      </c>
      <c r="J188" s="70" t="s">
        <v>6</v>
      </c>
      <c r="K188" s="70" t="s">
        <v>6</v>
      </c>
      <c r="L188" s="70" t="s">
        <v>595</v>
      </c>
      <c r="M188" s="38" t="s">
        <v>648</v>
      </c>
      <c r="N188" s="26">
        <v>4</v>
      </c>
      <c r="O188" s="57">
        <v>3125</v>
      </c>
      <c r="P188" s="62">
        <f t="shared" si="2"/>
        <v>12500</v>
      </c>
      <c r="Q188" s="6" t="s">
        <v>519</v>
      </c>
      <c r="R188" s="6" t="s">
        <v>770</v>
      </c>
      <c r="S188" s="38" t="s">
        <v>2038</v>
      </c>
      <c r="T188" s="26">
        <v>100</v>
      </c>
    </row>
    <row r="189" spans="2:20" ht="51">
      <c r="B189" s="6">
        <v>173</v>
      </c>
      <c r="C189" s="36" t="s">
        <v>714</v>
      </c>
      <c r="D189" s="37" t="s">
        <v>715</v>
      </c>
      <c r="E189" s="6" t="s">
        <v>638</v>
      </c>
      <c r="F189" s="70" t="s">
        <v>817</v>
      </c>
      <c r="G189" s="70" t="s">
        <v>369</v>
      </c>
      <c r="H189" s="70" t="s">
        <v>818</v>
      </c>
      <c r="I189" s="70" t="s">
        <v>639</v>
      </c>
      <c r="J189" s="70" t="s">
        <v>817</v>
      </c>
      <c r="K189" s="70" t="s">
        <v>369</v>
      </c>
      <c r="L189" s="70" t="s">
        <v>595</v>
      </c>
      <c r="M189" s="38" t="s">
        <v>648</v>
      </c>
      <c r="N189" s="26">
        <v>2</v>
      </c>
      <c r="O189" s="57">
        <v>223</v>
      </c>
      <c r="P189" s="62">
        <f t="shared" si="2"/>
        <v>446</v>
      </c>
      <c r="Q189" s="6" t="s">
        <v>519</v>
      </c>
      <c r="R189" s="6" t="s">
        <v>770</v>
      </c>
      <c r="S189" s="38" t="s">
        <v>2038</v>
      </c>
      <c r="T189" s="26">
        <v>100</v>
      </c>
    </row>
    <row r="190" spans="2:20" ht="48" customHeight="1">
      <c r="B190" s="6">
        <v>174</v>
      </c>
      <c r="C190" s="16" t="s">
        <v>714</v>
      </c>
      <c r="D190" s="37" t="s">
        <v>715</v>
      </c>
      <c r="E190" s="6" t="s">
        <v>958</v>
      </c>
      <c r="F190" s="70" t="s">
        <v>1007</v>
      </c>
      <c r="G190" s="70" t="s">
        <v>370</v>
      </c>
      <c r="H190" s="70" t="s">
        <v>2179</v>
      </c>
      <c r="I190" s="70" t="s">
        <v>959</v>
      </c>
      <c r="J190" s="70" t="s">
        <v>1007</v>
      </c>
      <c r="K190" s="70" t="s">
        <v>370</v>
      </c>
      <c r="L190" s="70" t="s">
        <v>595</v>
      </c>
      <c r="M190" s="38" t="s">
        <v>648</v>
      </c>
      <c r="N190" s="26">
        <v>2</v>
      </c>
      <c r="O190" s="57">
        <v>313</v>
      </c>
      <c r="P190" s="62">
        <f t="shared" si="2"/>
        <v>626</v>
      </c>
      <c r="Q190" s="6" t="s">
        <v>519</v>
      </c>
      <c r="R190" s="6" t="s">
        <v>770</v>
      </c>
      <c r="S190" s="38" t="s">
        <v>2038</v>
      </c>
      <c r="T190" s="26">
        <v>100</v>
      </c>
    </row>
    <row r="191" spans="2:20" ht="102">
      <c r="B191" s="6">
        <v>175</v>
      </c>
      <c r="C191" s="36" t="s">
        <v>714</v>
      </c>
      <c r="D191" s="37" t="s">
        <v>715</v>
      </c>
      <c r="E191" s="6" t="s">
        <v>640</v>
      </c>
      <c r="F191" s="70" t="s">
        <v>819</v>
      </c>
      <c r="G191" s="70" t="s">
        <v>371</v>
      </c>
      <c r="H191" s="70" t="s">
        <v>820</v>
      </c>
      <c r="I191" s="70" t="s">
        <v>641</v>
      </c>
      <c r="J191" s="70" t="s">
        <v>819</v>
      </c>
      <c r="K191" s="70" t="s">
        <v>371</v>
      </c>
      <c r="L191" s="70" t="s">
        <v>595</v>
      </c>
      <c r="M191" s="38" t="s">
        <v>648</v>
      </c>
      <c r="N191" s="26">
        <v>1</v>
      </c>
      <c r="O191" s="57">
        <v>14286</v>
      </c>
      <c r="P191" s="62">
        <f t="shared" si="2"/>
        <v>14286</v>
      </c>
      <c r="Q191" s="6" t="s">
        <v>519</v>
      </c>
      <c r="R191" s="6" t="s">
        <v>770</v>
      </c>
      <c r="S191" s="38" t="s">
        <v>2038</v>
      </c>
      <c r="T191" s="26">
        <v>100</v>
      </c>
    </row>
    <row r="192" spans="2:20" ht="51">
      <c r="B192" s="6">
        <v>176</v>
      </c>
      <c r="C192" s="36" t="s">
        <v>714</v>
      </c>
      <c r="D192" s="37" t="s">
        <v>715</v>
      </c>
      <c r="E192" s="6" t="s">
        <v>643</v>
      </c>
      <c r="F192" s="70" t="s">
        <v>2180</v>
      </c>
      <c r="G192" s="70" t="s">
        <v>372</v>
      </c>
      <c r="H192" s="70" t="s">
        <v>2181</v>
      </c>
      <c r="I192" s="70" t="s">
        <v>2182</v>
      </c>
      <c r="J192" s="70" t="s">
        <v>2180</v>
      </c>
      <c r="K192" s="70" t="s">
        <v>372</v>
      </c>
      <c r="L192" s="70" t="s">
        <v>595</v>
      </c>
      <c r="M192" s="38" t="s">
        <v>648</v>
      </c>
      <c r="N192" s="26">
        <v>1</v>
      </c>
      <c r="O192" s="57">
        <v>1786</v>
      </c>
      <c r="P192" s="62">
        <f t="shared" si="2"/>
        <v>1786</v>
      </c>
      <c r="Q192" s="6" t="s">
        <v>519</v>
      </c>
      <c r="R192" s="6" t="s">
        <v>770</v>
      </c>
      <c r="S192" s="38" t="s">
        <v>2038</v>
      </c>
      <c r="T192" s="26">
        <v>100</v>
      </c>
    </row>
    <row r="193" spans="1:20" ht="51">
      <c r="B193" s="6">
        <v>177</v>
      </c>
      <c r="C193" s="36" t="s">
        <v>714</v>
      </c>
      <c r="D193" s="37" t="s">
        <v>715</v>
      </c>
      <c r="E193" s="6" t="s">
        <v>399</v>
      </c>
      <c r="F193" s="70" t="s">
        <v>822</v>
      </c>
      <c r="G193" s="70" t="s">
        <v>373</v>
      </c>
      <c r="H193" s="70" t="s">
        <v>2183</v>
      </c>
      <c r="I193" s="70" t="s">
        <v>2184</v>
      </c>
      <c r="J193" s="70" t="s">
        <v>822</v>
      </c>
      <c r="K193" s="70" t="s">
        <v>373</v>
      </c>
      <c r="L193" s="70" t="s">
        <v>595</v>
      </c>
      <c r="M193" s="6" t="s">
        <v>673</v>
      </c>
      <c r="N193" s="26">
        <v>5</v>
      </c>
      <c r="O193" s="57">
        <v>156</v>
      </c>
      <c r="P193" s="62">
        <f t="shared" si="2"/>
        <v>780</v>
      </c>
      <c r="Q193" s="6" t="s">
        <v>519</v>
      </c>
      <c r="R193" s="6" t="s">
        <v>770</v>
      </c>
      <c r="S193" s="38" t="s">
        <v>2038</v>
      </c>
      <c r="T193" s="26">
        <v>100</v>
      </c>
    </row>
    <row r="194" spans="1:20" ht="114.75">
      <c r="B194" s="6">
        <v>178</v>
      </c>
      <c r="C194" s="36" t="s">
        <v>714</v>
      </c>
      <c r="D194" s="37" t="s">
        <v>715</v>
      </c>
      <c r="E194" s="6" t="s">
        <v>1083</v>
      </c>
      <c r="F194" s="70" t="s">
        <v>374</v>
      </c>
      <c r="G194" s="70" t="s">
        <v>374</v>
      </c>
      <c r="H194" s="70" t="s">
        <v>1629</v>
      </c>
      <c r="I194" s="70" t="s">
        <v>1084</v>
      </c>
      <c r="J194" s="70" t="s">
        <v>193</v>
      </c>
      <c r="K194" s="70" t="s">
        <v>374</v>
      </c>
      <c r="L194" s="70" t="s">
        <v>595</v>
      </c>
      <c r="M194" s="6" t="s">
        <v>655</v>
      </c>
      <c r="N194" s="26">
        <v>50</v>
      </c>
      <c r="O194" s="57">
        <v>179</v>
      </c>
      <c r="P194" s="62">
        <f t="shared" si="2"/>
        <v>8950</v>
      </c>
      <c r="Q194" s="6" t="s">
        <v>519</v>
      </c>
      <c r="R194" s="6" t="s">
        <v>770</v>
      </c>
      <c r="S194" s="38" t="s">
        <v>2038</v>
      </c>
      <c r="T194" s="26">
        <v>100</v>
      </c>
    </row>
    <row r="195" spans="1:20" ht="89.25">
      <c r="B195" s="6">
        <v>179</v>
      </c>
      <c r="C195" s="36" t="s">
        <v>714</v>
      </c>
      <c r="D195" s="37" t="s">
        <v>715</v>
      </c>
      <c r="E195" s="6" t="s">
        <v>649</v>
      </c>
      <c r="F195" s="70" t="s">
        <v>824</v>
      </c>
      <c r="G195" s="70" t="s">
        <v>10</v>
      </c>
      <c r="H195" s="70" t="s">
        <v>825</v>
      </c>
      <c r="I195" s="70" t="s">
        <v>650</v>
      </c>
      <c r="J195" s="70" t="s">
        <v>824</v>
      </c>
      <c r="K195" s="70" t="s">
        <v>10</v>
      </c>
      <c r="L195" s="70" t="s">
        <v>595</v>
      </c>
      <c r="M195" s="38" t="s">
        <v>648</v>
      </c>
      <c r="N195" s="26">
        <v>2</v>
      </c>
      <c r="O195" s="57">
        <v>1339</v>
      </c>
      <c r="P195" s="62">
        <f t="shared" si="2"/>
        <v>2678</v>
      </c>
      <c r="Q195" s="6" t="s">
        <v>519</v>
      </c>
      <c r="R195" s="6" t="s">
        <v>770</v>
      </c>
      <c r="S195" s="38" t="s">
        <v>2038</v>
      </c>
      <c r="T195" s="26">
        <v>100</v>
      </c>
    </row>
    <row r="196" spans="1:20" ht="51">
      <c r="B196" s="6">
        <v>180</v>
      </c>
      <c r="C196" s="16" t="s">
        <v>714</v>
      </c>
      <c r="D196" s="37" t="s">
        <v>715</v>
      </c>
      <c r="E196" s="6" t="s">
        <v>893</v>
      </c>
      <c r="F196" s="70" t="s">
        <v>2185</v>
      </c>
      <c r="G196" s="70" t="s">
        <v>199</v>
      </c>
      <c r="H196" s="70" t="s">
        <v>2186</v>
      </c>
      <c r="I196" s="70" t="s">
        <v>1381</v>
      </c>
      <c r="J196" s="70" t="s">
        <v>2185</v>
      </c>
      <c r="K196" s="70" t="s">
        <v>199</v>
      </c>
      <c r="L196" s="70" t="s">
        <v>595</v>
      </c>
      <c r="M196" s="38" t="s">
        <v>648</v>
      </c>
      <c r="N196" s="26">
        <v>4</v>
      </c>
      <c r="O196" s="57">
        <v>2232</v>
      </c>
      <c r="P196" s="62">
        <f t="shared" si="2"/>
        <v>8928</v>
      </c>
      <c r="Q196" s="6" t="s">
        <v>519</v>
      </c>
      <c r="R196" s="6" t="s">
        <v>770</v>
      </c>
      <c r="S196" s="38" t="s">
        <v>2038</v>
      </c>
      <c r="T196" s="26">
        <v>100</v>
      </c>
    </row>
    <row r="197" spans="1:20" ht="51">
      <c r="B197" s="6">
        <v>181</v>
      </c>
      <c r="C197" s="36" t="s">
        <v>714</v>
      </c>
      <c r="D197" s="37" t="s">
        <v>715</v>
      </c>
      <c r="E197" s="6" t="s">
        <v>653</v>
      </c>
      <c r="F197" s="70" t="s">
        <v>1633</v>
      </c>
      <c r="G197" s="70" t="s">
        <v>375</v>
      </c>
      <c r="H197" s="70" t="s">
        <v>1635</v>
      </c>
      <c r="I197" s="70" t="s">
        <v>654</v>
      </c>
      <c r="J197" s="70" t="s">
        <v>1633</v>
      </c>
      <c r="K197" s="70" t="s">
        <v>375</v>
      </c>
      <c r="L197" s="70" t="s">
        <v>595</v>
      </c>
      <c r="M197" s="6" t="s">
        <v>655</v>
      </c>
      <c r="N197" s="26">
        <v>2</v>
      </c>
      <c r="O197" s="57">
        <v>446</v>
      </c>
      <c r="P197" s="62">
        <f t="shared" si="2"/>
        <v>892</v>
      </c>
      <c r="Q197" s="6" t="s">
        <v>519</v>
      </c>
      <c r="R197" s="6" t="s">
        <v>770</v>
      </c>
      <c r="S197" s="38" t="s">
        <v>2038</v>
      </c>
      <c r="T197" s="26">
        <v>100</v>
      </c>
    </row>
    <row r="198" spans="1:20" ht="51">
      <c r="B198" s="6">
        <v>182</v>
      </c>
      <c r="C198" s="36" t="s">
        <v>714</v>
      </c>
      <c r="D198" s="37" t="s">
        <v>715</v>
      </c>
      <c r="E198" s="6" t="s">
        <v>656</v>
      </c>
      <c r="F198" s="70" t="s">
        <v>1637</v>
      </c>
      <c r="G198" s="70" t="s">
        <v>657</v>
      </c>
      <c r="H198" s="70" t="s">
        <v>1638</v>
      </c>
      <c r="I198" s="70" t="s">
        <v>658</v>
      </c>
      <c r="J198" s="70" t="s">
        <v>1637</v>
      </c>
      <c r="K198" s="70" t="s">
        <v>376</v>
      </c>
      <c r="L198" s="70" t="s">
        <v>595</v>
      </c>
      <c r="M198" s="38" t="s">
        <v>648</v>
      </c>
      <c r="N198" s="26">
        <v>50</v>
      </c>
      <c r="O198" s="57">
        <v>179</v>
      </c>
      <c r="P198" s="62">
        <f t="shared" si="2"/>
        <v>8950</v>
      </c>
      <c r="Q198" s="6" t="s">
        <v>519</v>
      </c>
      <c r="R198" s="6" t="s">
        <v>770</v>
      </c>
      <c r="S198" s="38" t="s">
        <v>2038</v>
      </c>
      <c r="T198" s="26">
        <v>100</v>
      </c>
    </row>
    <row r="199" spans="1:20" ht="51">
      <c r="B199" s="6">
        <v>183</v>
      </c>
      <c r="C199" s="16" t="s">
        <v>714</v>
      </c>
      <c r="D199" s="37" t="s">
        <v>715</v>
      </c>
      <c r="E199" s="6" t="s">
        <v>833</v>
      </c>
      <c r="F199" s="70" t="s">
        <v>11</v>
      </c>
      <c r="G199" s="70" t="s">
        <v>11</v>
      </c>
      <c r="H199" s="70" t="s">
        <v>834</v>
      </c>
      <c r="I199" s="70" t="s">
        <v>834</v>
      </c>
      <c r="J199" s="70" t="s">
        <v>11</v>
      </c>
      <c r="K199" s="70" t="s">
        <v>11</v>
      </c>
      <c r="L199" s="70" t="s">
        <v>595</v>
      </c>
      <c r="M199" s="6" t="s">
        <v>1486</v>
      </c>
      <c r="N199" s="26">
        <v>25</v>
      </c>
      <c r="O199" s="57">
        <v>313</v>
      </c>
      <c r="P199" s="62">
        <f t="shared" si="2"/>
        <v>7825</v>
      </c>
      <c r="Q199" s="6" t="s">
        <v>519</v>
      </c>
      <c r="R199" s="6" t="s">
        <v>770</v>
      </c>
      <c r="S199" s="38" t="s">
        <v>2038</v>
      </c>
      <c r="T199" s="26">
        <v>100</v>
      </c>
    </row>
    <row r="200" spans="1:20" ht="51">
      <c r="B200" s="6">
        <v>184</v>
      </c>
      <c r="C200" s="36" t="s">
        <v>714</v>
      </c>
      <c r="D200" s="37" t="s">
        <v>715</v>
      </c>
      <c r="E200" s="6" t="s">
        <v>898</v>
      </c>
      <c r="F200" s="70" t="s">
        <v>771</v>
      </c>
      <c r="G200" s="70" t="s">
        <v>18</v>
      </c>
      <c r="H200" s="70" t="s">
        <v>2188</v>
      </c>
      <c r="I200" s="70" t="s">
        <v>674</v>
      </c>
      <c r="J200" s="70" t="s">
        <v>771</v>
      </c>
      <c r="K200" s="70" t="s">
        <v>18</v>
      </c>
      <c r="L200" s="70" t="s">
        <v>595</v>
      </c>
      <c r="M200" s="6" t="s">
        <v>484</v>
      </c>
      <c r="N200" s="26">
        <v>2</v>
      </c>
      <c r="O200" s="57">
        <v>714</v>
      </c>
      <c r="P200" s="62">
        <f t="shared" si="2"/>
        <v>1428</v>
      </c>
      <c r="Q200" s="6" t="s">
        <v>519</v>
      </c>
      <c r="R200" s="6" t="s">
        <v>770</v>
      </c>
      <c r="S200" s="38" t="s">
        <v>2038</v>
      </c>
      <c r="T200" s="26">
        <v>100</v>
      </c>
    </row>
    <row r="201" spans="1:20" ht="51">
      <c r="B201" s="6">
        <v>185</v>
      </c>
      <c r="C201" s="36" t="s">
        <v>714</v>
      </c>
      <c r="D201" s="37" t="s">
        <v>715</v>
      </c>
      <c r="E201" s="6" t="s">
        <v>2398</v>
      </c>
      <c r="F201" s="70" t="s">
        <v>378</v>
      </c>
      <c r="G201" s="70" t="s">
        <v>378</v>
      </c>
      <c r="H201" s="70" t="s">
        <v>2295</v>
      </c>
      <c r="I201" s="70" t="s">
        <v>835</v>
      </c>
      <c r="J201" s="70" t="s">
        <v>378</v>
      </c>
      <c r="K201" s="70" t="s">
        <v>198</v>
      </c>
      <c r="L201" s="70" t="s">
        <v>595</v>
      </c>
      <c r="M201" s="38" t="s">
        <v>648</v>
      </c>
      <c r="N201" s="26">
        <v>25</v>
      </c>
      <c r="O201" s="57">
        <v>67</v>
      </c>
      <c r="P201" s="62">
        <f t="shared" si="2"/>
        <v>1675</v>
      </c>
      <c r="Q201" s="6" t="s">
        <v>519</v>
      </c>
      <c r="R201" s="6" t="s">
        <v>770</v>
      </c>
      <c r="S201" s="38" t="s">
        <v>2038</v>
      </c>
      <c r="T201" s="26">
        <v>100</v>
      </c>
    </row>
    <row r="202" spans="1:20" ht="51">
      <c r="B202" s="6">
        <v>186</v>
      </c>
      <c r="C202" s="36" t="s">
        <v>714</v>
      </c>
      <c r="D202" s="37" t="s">
        <v>715</v>
      </c>
      <c r="E202" s="6" t="s">
        <v>664</v>
      </c>
      <c r="F202" s="70" t="s">
        <v>836</v>
      </c>
      <c r="G202" s="70" t="s">
        <v>12</v>
      </c>
      <c r="H202" s="70" t="s">
        <v>1645</v>
      </c>
      <c r="I202" s="70" t="s">
        <v>665</v>
      </c>
      <c r="J202" s="70" t="s">
        <v>836</v>
      </c>
      <c r="K202" s="70" t="s">
        <v>12</v>
      </c>
      <c r="L202" s="70" t="s">
        <v>595</v>
      </c>
      <c r="M202" s="38" t="s">
        <v>648</v>
      </c>
      <c r="N202" s="26">
        <v>5</v>
      </c>
      <c r="O202" s="57">
        <v>1339</v>
      </c>
      <c r="P202" s="62">
        <f t="shared" si="2"/>
        <v>6695</v>
      </c>
      <c r="Q202" s="6" t="s">
        <v>519</v>
      </c>
      <c r="R202" s="6" t="s">
        <v>770</v>
      </c>
      <c r="S202" s="38" t="s">
        <v>2038</v>
      </c>
      <c r="T202" s="26">
        <v>100</v>
      </c>
    </row>
    <row r="203" spans="1:20" ht="51">
      <c r="B203" s="6">
        <v>187</v>
      </c>
      <c r="C203" s="36" t="s">
        <v>714</v>
      </c>
      <c r="D203" s="37" t="s">
        <v>715</v>
      </c>
      <c r="E203" s="6" t="s">
        <v>414</v>
      </c>
      <c r="F203" s="70" t="s">
        <v>837</v>
      </c>
      <c r="G203" s="70" t="s">
        <v>379</v>
      </c>
      <c r="H203" s="70" t="s">
        <v>2281</v>
      </c>
      <c r="I203" s="70" t="s">
        <v>415</v>
      </c>
      <c r="J203" s="70" t="s">
        <v>2281</v>
      </c>
      <c r="K203" s="70" t="s">
        <v>379</v>
      </c>
      <c r="L203" s="70" t="s">
        <v>595</v>
      </c>
      <c r="M203" s="38" t="s">
        <v>648</v>
      </c>
      <c r="N203" s="26">
        <v>5</v>
      </c>
      <c r="O203" s="57">
        <v>1071</v>
      </c>
      <c r="P203" s="62">
        <f t="shared" si="2"/>
        <v>5355</v>
      </c>
      <c r="Q203" s="6" t="s">
        <v>519</v>
      </c>
      <c r="R203" s="6" t="s">
        <v>770</v>
      </c>
      <c r="S203" s="38" t="s">
        <v>2038</v>
      </c>
      <c r="T203" s="26">
        <v>100</v>
      </c>
    </row>
    <row r="204" spans="1:20" s="42" customFormat="1" ht="51">
      <c r="A204" s="41"/>
      <c r="B204" s="6">
        <v>188</v>
      </c>
      <c r="C204" s="36" t="s">
        <v>714</v>
      </c>
      <c r="D204" s="37" t="s">
        <v>715</v>
      </c>
      <c r="E204" s="6" t="s">
        <v>666</v>
      </c>
      <c r="F204" s="70" t="s">
        <v>2245</v>
      </c>
      <c r="G204" s="70" t="s">
        <v>667</v>
      </c>
      <c r="H204" s="70" t="s">
        <v>2246</v>
      </c>
      <c r="I204" s="70" t="s">
        <v>2248</v>
      </c>
      <c r="J204" s="70" t="s">
        <v>2247</v>
      </c>
      <c r="K204" s="70" t="s">
        <v>380</v>
      </c>
      <c r="L204" s="70" t="s">
        <v>595</v>
      </c>
      <c r="M204" s="6" t="s">
        <v>1487</v>
      </c>
      <c r="N204" s="26">
        <v>1</v>
      </c>
      <c r="O204" s="57">
        <v>26786</v>
      </c>
      <c r="P204" s="62">
        <f t="shared" si="2"/>
        <v>26786</v>
      </c>
      <c r="Q204" s="6" t="s">
        <v>519</v>
      </c>
      <c r="R204" s="6" t="s">
        <v>770</v>
      </c>
      <c r="S204" s="38" t="s">
        <v>2038</v>
      </c>
      <c r="T204" s="26">
        <v>100</v>
      </c>
    </row>
    <row r="205" spans="1:20" s="42" customFormat="1" ht="51">
      <c r="A205" s="41"/>
      <c r="B205" s="6">
        <v>189</v>
      </c>
      <c r="C205" s="36" t="s">
        <v>714</v>
      </c>
      <c r="D205" s="37" t="s">
        <v>715</v>
      </c>
      <c r="E205" s="6" t="s">
        <v>416</v>
      </c>
      <c r="F205" s="70" t="s">
        <v>839</v>
      </c>
      <c r="G205" s="70" t="s">
        <v>381</v>
      </c>
      <c r="H205" s="70" t="s">
        <v>840</v>
      </c>
      <c r="I205" s="70" t="s">
        <v>417</v>
      </c>
      <c r="J205" s="70" t="s">
        <v>2305</v>
      </c>
      <c r="K205" s="70" t="s">
        <v>381</v>
      </c>
      <c r="L205" s="70" t="s">
        <v>595</v>
      </c>
      <c r="M205" s="38" t="s">
        <v>648</v>
      </c>
      <c r="N205" s="26">
        <v>1</v>
      </c>
      <c r="O205" s="57">
        <v>26786</v>
      </c>
      <c r="P205" s="62">
        <f t="shared" si="2"/>
        <v>26786</v>
      </c>
      <c r="Q205" s="6" t="s">
        <v>519</v>
      </c>
      <c r="R205" s="6" t="s">
        <v>770</v>
      </c>
      <c r="S205" s="38" t="s">
        <v>2038</v>
      </c>
      <c r="T205" s="26">
        <v>100</v>
      </c>
    </row>
    <row r="206" spans="1:20" s="42" customFormat="1" ht="51">
      <c r="A206" s="41"/>
      <c r="B206" s="6">
        <v>190</v>
      </c>
      <c r="C206" s="36" t="s">
        <v>714</v>
      </c>
      <c r="D206" s="37" t="s">
        <v>715</v>
      </c>
      <c r="E206" s="6" t="s">
        <v>416</v>
      </c>
      <c r="F206" s="70" t="s">
        <v>839</v>
      </c>
      <c r="G206" s="70" t="s">
        <v>381</v>
      </c>
      <c r="H206" s="70" t="s">
        <v>840</v>
      </c>
      <c r="I206" s="70" t="s">
        <v>417</v>
      </c>
      <c r="J206" s="70" t="s">
        <v>2301</v>
      </c>
      <c r="K206" s="70" t="s">
        <v>382</v>
      </c>
      <c r="L206" s="70" t="s">
        <v>595</v>
      </c>
      <c r="M206" s="38" t="s">
        <v>648</v>
      </c>
      <c r="N206" s="26">
        <v>1</v>
      </c>
      <c r="O206" s="57">
        <v>16071</v>
      </c>
      <c r="P206" s="62">
        <f t="shared" si="2"/>
        <v>16071</v>
      </c>
      <c r="Q206" s="6" t="s">
        <v>519</v>
      </c>
      <c r="R206" s="6" t="s">
        <v>770</v>
      </c>
      <c r="S206" s="38" t="s">
        <v>2038</v>
      </c>
      <c r="T206" s="26">
        <v>100</v>
      </c>
    </row>
    <row r="207" spans="1:20" s="42" customFormat="1" ht="51">
      <c r="A207" s="41"/>
      <c r="B207" s="6">
        <v>191</v>
      </c>
      <c r="C207" s="36" t="s">
        <v>714</v>
      </c>
      <c r="D207" s="37" t="s">
        <v>715</v>
      </c>
      <c r="E207" s="6" t="s">
        <v>671</v>
      </c>
      <c r="F207" s="70" t="s">
        <v>2192</v>
      </c>
      <c r="G207" s="70" t="s">
        <v>13</v>
      </c>
      <c r="H207" s="70" t="s">
        <v>2193</v>
      </c>
      <c r="I207" s="70" t="s">
        <v>672</v>
      </c>
      <c r="J207" s="70" t="s">
        <v>2192</v>
      </c>
      <c r="K207" s="70" t="s">
        <v>13</v>
      </c>
      <c r="L207" s="70" t="s">
        <v>595</v>
      </c>
      <c r="M207" s="38" t="s">
        <v>648</v>
      </c>
      <c r="N207" s="26">
        <v>3</v>
      </c>
      <c r="O207" s="57">
        <v>2679</v>
      </c>
      <c r="P207" s="62">
        <f t="shared" si="2"/>
        <v>8037</v>
      </c>
      <c r="Q207" s="6" t="s">
        <v>519</v>
      </c>
      <c r="R207" s="6" t="s">
        <v>770</v>
      </c>
      <c r="S207" s="38" t="s">
        <v>2038</v>
      </c>
      <c r="T207" s="26">
        <v>100</v>
      </c>
    </row>
    <row r="208" spans="1:20" s="42" customFormat="1" ht="51">
      <c r="A208" s="41"/>
      <c r="B208" s="6">
        <v>192</v>
      </c>
      <c r="C208" s="36" t="s">
        <v>714</v>
      </c>
      <c r="D208" s="37" t="s">
        <v>715</v>
      </c>
      <c r="E208" s="6" t="s">
        <v>420</v>
      </c>
      <c r="F208" s="70" t="s">
        <v>2232</v>
      </c>
      <c r="G208" s="70" t="s">
        <v>421</v>
      </c>
      <c r="H208" s="70" t="s">
        <v>2233</v>
      </c>
      <c r="I208" s="70" t="s">
        <v>422</v>
      </c>
      <c r="J208" s="70" t="s">
        <v>2232</v>
      </c>
      <c r="K208" s="70" t="s">
        <v>383</v>
      </c>
      <c r="L208" s="70" t="s">
        <v>595</v>
      </c>
      <c r="M208" s="38" t="s">
        <v>648</v>
      </c>
      <c r="N208" s="26">
        <v>1</v>
      </c>
      <c r="O208" s="57">
        <v>16071</v>
      </c>
      <c r="P208" s="62">
        <f t="shared" si="2"/>
        <v>16071</v>
      </c>
      <c r="Q208" s="6" t="s">
        <v>519</v>
      </c>
      <c r="R208" s="6" t="s">
        <v>770</v>
      </c>
      <c r="S208" s="38" t="s">
        <v>2038</v>
      </c>
      <c r="T208" s="26">
        <v>100</v>
      </c>
    </row>
    <row r="209" spans="1:20" ht="51">
      <c r="B209" s="6">
        <v>193</v>
      </c>
      <c r="C209" s="36" t="s">
        <v>714</v>
      </c>
      <c r="D209" s="37" t="s">
        <v>715</v>
      </c>
      <c r="E209" s="6" t="s">
        <v>1010</v>
      </c>
      <c r="F209" s="70" t="s">
        <v>2086</v>
      </c>
      <c r="G209" s="70" t="s">
        <v>1011</v>
      </c>
      <c r="H209" s="70" t="s">
        <v>2087</v>
      </c>
      <c r="I209" s="70" t="s">
        <v>1012</v>
      </c>
      <c r="J209" s="70" t="s">
        <v>2086</v>
      </c>
      <c r="K209" s="70" t="s">
        <v>384</v>
      </c>
      <c r="L209" s="70" t="s">
        <v>595</v>
      </c>
      <c r="M209" s="38" t="s">
        <v>648</v>
      </c>
      <c r="N209" s="26">
        <v>1</v>
      </c>
      <c r="O209" s="57">
        <v>1786</v>
      </c>
      <c r="P209" s="62">
        <f t="shared" ref="P209:P272" si="3">N209*O209</f>
        <v>1786</v>
      </c>
      <c r="Q209" s="6" t="s">
        <v>519</v>
      </c>
      <c r="R209" s="6" t="s">
        <v>770</v>
      </c>
      <c r="S209" s="38" t="s">
        <v>2038</v>
      </c>
      <c r="T209" s="26">
        <v>100</v>
      </c>
    </row>
    <row r="210" spans="1:20" ht="63.75">
      <c r="B210" s="6">
        <v>194</v>
      </c>
      <c r="C210" s="36" t="s">
        <v>714</v>
      </c>
      <c r="D210" s="37" t="s">
        <v>715</v>
      </c>
      <c r="E210" s="6" t="s">
        <v>807</v>
      </c>
      <c r="F210" s="70" t="s">
        <v>808</v>
      </c>
      <c r="G210" s="70" t="s">
        <v>368</v>
      </c>
      <c r="H210" s="70" t="s">
        <v>809</v>
      </c>
      <c r="I210" s="70" t="s">
        <v>810</v>
      </c>
      <c r="J210" s="70" t="s">
        <v>808</v>
      </c>
      <c r="K210" s="70" t="s">
        <v>368</v>
      </c>
      <c r="L210" s="70" t="s">
        <v>595</v>
      </c>
      <c r="M210" s="38" t="s">
        <v>648</v>
      </c>
      <c r="N210" s="26">
        <v>5</v>
      </c>
      <c r="O210" s="57">
        <v>313</v>
      </c>
      <c r="P210" s="62">
        <f t="shared" si="3"/>
        <v>1565</v>
      </c>
      <c r="Q210" s="6" t="s">
        <v>397</v>
      </c>
      <c r="R210" s="6" t="s">
        <v>1029</v>
      </c>
      <c r="S210" s="38" t="s">
        <v>1025</v>
      </c>
      <c r="T210" s="6">
        <v>100</v>
      </c>
    </row>
    <row r="211" spans="1:20" ht="25.5">
      <c r="B211" s="6">
        <v>195</v>
      </c>
      <c r="C211" s="16" t="s">
        <v>714</v>
      </c>
      <c r="D211" s="37" t="s">
        <v>715</v>
      </c>
      <c r="E211" s="12" t="s">
        <v>811</v>
      </c>
      <c r="F211" s="70" t="s">
        <v>1602</v>
      </c>
      <c r="G211" s="70" t="s">
        <v>2387</v>
      </c>
      <c r="H211" s="70" t="s">
        <v>1603</v>
      </c>
      <c r="I211" s="70" t="s">
        <v>812</v>
      </c>
      <c r="J211" s="70" t="s">
        <v>1604</v>
      </c>
      <c r="K211" s="70" t="s">
        <v>5</v>
      </c>
      <c r="L211" s="70" t="s">
        <v>595</v>
      </c>
      <c r="M211" s="38" t="s">
        <v>648</v>
      </c>
      <c r="N211" s="26">
        <v>2</v>
      </c>
      <c r="O211" s="57">
        <v>714</v>
      </c>
      <c r="P211" s="62">
        <f t="shared" si="3"/>
        <v>1428</v>
      </c>
      <c r="Q211" s="6" t="s">
        <v>397</v>
      </c>
      <c r="R211" s="6" t="s">
        <v>1029</v>
      </c>
      <c r="S211" s="38" t="s">
        <v>1025</v>
      </c>
      <c r="T211" s="6">
        <v>100</v>
      </c>
    </row>
    <row r="212" spans="1:20" ht="76.5">
      <c r="B212" s="6">
        <v>196</v>
      </c>
      <c r="C212" s="36" t="s">
        <v>714</v>
      </c>
      <c r="D212" s="37" t="s">
        <v>715</v>
      </c>
      <c r="E212" s="6" t="s">
        <v>813</v>
      </c>
      <c r="F212" s="70" t="s">
        <v>814</v>
      </c>
      <c r="G212" s="70" t="s">
        <v>6</v>
      </c>
      <c r="H212" s="70" t="s">
        <v>815</v>
      </c>
      <c r="I212" s="70" t="s">
        <v>1030</v>
      </c>
      <c r="J212" s="70" t="s">
        <v>6</v>
      </c>
      <c r="K212" s="70" t="s">
        <v>6</v>
      </c>
      <c r="L212" s="70" t="s">
        <v>595</v>
      </c>
      <c r="M212" s="38" t="s">
        <v>648</v>
      </c>
      <c r="N212" s="26">
        <v>4</v>
      </c>
      <c r="O212" s="57">
        <v>3125</v>
      </c>
      <c r="P212" s="62">
        <f t="shared" si="3"/>
        <v>12500</v>
      </c>
      <c r="Q212" s="6" t="s">
        <v>397</v>
      </c>
      <c r="R212" s="6" t="s">
        <v>1029</v>
      </c>
      <c r="S212" s="38" t="s">
        <v>1025</v>
      </c>
      <c r="T212" s="6">
        <v>100</v>
      </c>
    </row>
    <row r="213" spans="1:20" ht="25.5">
      <c r="B213" s="6">
        <v>197</v>
      </c>
      <c r="C213" s="36" t="s">
        <v>714</v>
      </c>
      <c r="D213" s="37" t="s">
        <v>715</v>
      </c>
      <c r="E213" s="6" t="s">
        <v>638</v>
      </c>
      <c r="F213" s="70" t="s">
        <v>817</v>
      </c>
      <c r="G213" s="70" t="s">
        <v>369</v>
      </c>
      <c r="H213" s="70" t="s">
        <v>818</v>
      </c>
      <c r="I213" s="70" t="s">
        <v>639</v>
      </c>
      <c r="J213" s="70" t="s">
        <v>2309</v>
      </c>
      <c r="K213" s="70" t="s">
        <v>369</v>
      </c>
      <c r="L213" s="70" t="s">
        <v>595</v>
      </c>
      <c r="M213" s="38" t="s">
        <v>648</v>
      </c>
      <c r="N213" s="26">
        <v>2</v>
      </c>
      <c r="O213" s="57">
        <v>223</v>
      </c>
      <c r="P213" s="62">
        <f t="shared" si="3"/>
        <v>446</v>
      </c>
      <c r="Q213" s="6" t="s">
        <v>397</v>
      </c>
      <c r="R213" s="6" t="s">
        <v>1029</v>
      </c>
      <c r="S213" s="38" t="s">
        <v>1025</v>
      </c>
      <c r="T213" s="6">
        <v>100</v>
      </c>
    </row>
    <row r="214" spans="1:20" ht="76.5">
      <c r="B214" s="6">
        <v>198</v>
      </c>
      <c r="C214" s="16" t="s">
        <v>714</v>
      </c>
      <c r="D214" s="37" t="s">
        <v>715</v>
      </c>
      <c r="E214" s="6" t="s">
        <v>958</v>
      </c>
      <c r="F214" s="70" t="s">
        <v>1007</v>
      </c>
      <c r="G214" s="70" t="s">
        <v>370</v>
      </c>
      <c r="H214" s="70" t="s">
        <v>2179</v>
      </c>
      <c r="I214" s="70" t="s">
        <v>959</v>
      </c>
      <c r="J214" s="70" t="s">
        <v>1007</v>
      </c>
      <c r="K214" s="70" t="s">
        <v>370</v>
      </c>
      <c r="L214" s="70" t="s">
        <v>595</v>
      </c>
      <c r="M214" s="38" t="s">
        <v>648</v>
      </c>
      <c r="N214" s="26">
        <v>2</v>
      </c>
      <c r="O214" s="57">
        <v>313</v>
      </c>
      <c r="P214" s="62">
        <f t="shared" si="3"/>
        <v>626</v>
      </c>
      <c r="Q214" s="6" t="s">
        <v>397</v>
      </c>
      <c r="R214" s="6" t="s">
        <v>1029</v>
      </c>
      <c r="S214" s="38" t="s">
        <v>1025</v>
      </c>
      <c r="T214" s="6">
        <v>100</v>
      </c>
    </row>
    <row r="215" spans="1:20" ht="102">
      <c r="B215" s="6">
        <v>199</v>
      </c>
      <c r="C215" s="36" t="s">
        <v>714</v>
      </c>
      <c r="D215" s="37" t="s">
        <v>715</v>
      </c>
      <c r="E215" s="6" t="s">
        <v>640</v>
      </c>
      <c r="F215" s="70" t="s">
        <v>819</v>
      </c>
      <c r="G215" s="70" t="s">
        <v>371</v>
      </c>
      <c r="H215" s="70" t="s">
        <v>820</v>
      </c>
      <c r="I215" s="70" t="s">
        <v>641</v>
      </c>
      <c r="J215" s="70" t="s">
        <v>819</v>
      </c>
      <c r="K215" s="70" t="s">
        <v>371</v>
      </c>
      <c r="L215" s="70" t="s">
        <v>595</v>
      </c>
      <c r="M215" s="38" t="s">
        <v>648</v>
      </c>
      <c r="N215" s="26">
        <v>1</v>
      </c>
      <c r="O215" s="57">
        <v>14286</v>
      </c>
      <c r="P215" s="62">
        <f t="shared" si="3"/>
        <v>14286</v>
      </c>
      <c r="Q215" s="6" t="s">
        <v>397</v>
      </c>
      <c r="R215" s="6" t="s">
        <v>1029</v>
      </c>
      <c r="S215" s="38" t="s">
        <v>1025</v>
      </c>
      <c r="T215" s="6">
        <v>100</v>
      </c>
    </row>
    <row r="216" spans="1:20" s="42" customFormat="1" ht="25.5">
      <c r="A216" s="41"/>
      <c r="B216" s="6">
        <v>200</v>
      </c>
      <c r="C216" s="36" t="s">
        <v>714</v>
      </c>
      <c r="D216" s="37" t="s">
        <v>715</v>
      </c>
      <c r="E216" s="6" t="s">
        <v>643</v>
      </c>
      <c r="F216" s="70" t="s">
        <v>2180</v>
      </c>
      <c r="G216" s="70" t="s">
        <v>372</v>
      </c>
      <c r="H216" s="70" t="s">
        <v>821</v>
      </c>
      <c r="I216" s="70" t="s">
        <v>644</v>
      </c>
      <c r="J216" s="70" t="s">
        <v>2180</v>
      </c>
      <c r="K216" s="70" t="s">
        <v>372</v>
      </c>
      <c r="L216" s="70" t="s">
        <v>595</v>
      </c>
      <c r="M216" s="38" t="s">
        <v>648</v>
      </c>
      <c r="N216" s="26">
        <v>1</v>
      </c>
      <c r="O216" s="57">
        <v>1786</v>
      </c>
      <c r="P216" s="62">
        <f t="shared" si="3"/>
        <v>1786</v>
      </c>
      <c r="Q216" s="6" t="s">
        <v>397</v>
      </c>
      <c r="R216" s="6" t="s">
        <v>1029</v>
      </c>
      <c r="S216" s="38" t="s">
        <v>1025</v>
      </c>
      <c r="T216" s="6">
        <v>100</v>
      </c>
    </row>
    <row r="217" spans="1:20" ht="25.5">
      <c r="B217" s="6">
        <v>201</v>
      </c>
      <c r="C217" s="36" t="s">
        <v>714</v>
      </c>
      <c r="D217" s="37" t="s">
        <v>715</v>
      </c>
      <c r="E217" s="6" t="s">
        <v>399</v>
      </c>
      <c r="F217" s="70" t="s">
        <v>822</v>
      </c>
      <c r="G217" s="70" t="s">
        <v>373</v>
      </c>
      <c r="H217" s="70" t="s">
        <v>823</v>
      </c>
      <c r="I217" s="70" t="s">
        <v>400</v>
      </c>
      <c r="J217" s="70" t="s">
        <v>822</v>
      </c>
      <c r="K217" s="70" t="s">
        <v>373</v>
      </c>
      <c r="L217" s="70" t="s">
        <v>595</v>
      </c>
      <c r="M217" s="6" t="s">
        <v>673</v>
      </c>
      <c r="N217" s="26">
        <v>5</v>
      </c>
      <c r="O217" s="57">
        <v>156</v>
      </c>
      <c r="P217" s="62">
        <f t="shared" si="3"/>
        <v>780</v>
      </c>
      <c r="Q217" s="6" t="s">
        <v>397</v>
      </c>
      <c r="R217" s="6" t="s">
        <v>1029</v>
      </c>
      <c r="S217" s="38" t="s">
        <v>1025</v>
      </c>
      <c r="T217" s="6">
        <v>100</v>
      </c>
    </row>
    <row r="218" spans="1:20" ht="57.75" customHeight="1">
      <c r="B218" s="6">
        <v>202</v>
      </c>
      <c r="C218" s="16" t="s">
        <v>714</v>
      </c>
      <c r="D218" s="37" t="s">
        <v>715</v>
      </c>
      <c r="E218" s="6" t="s">
        <v>1083</v>
      </c>
      <c r="F218" s="70" t="s">
        <v>374</v>
      </c>
      <c r="G218" s="70" t="s">
        <v>374</v>
      </c>
      <c r="H218" s="70" t="s">
        <v>1629</v>
      </c>
      <c r="I218" s="70" t="s">
        <v>1084</v>
      </c>
      <c r="J218" s="70" t="s">
        <v>193</v>
      </c>
      <c r="K218" s="70" t="s">
        <v>374</v>
      </c>
      <c r="L218" s="70" t="s">
        <v>595</v>
      </c>
      <c r="M218" s="6" t="s">
        <v>655</v>
      </c>
      <c r="N218" s="26">
        <v>50</v>
      </c>
      <c r="O218" s="57">
        <v>179</v>
      </c>
      <c r="P218" s="62">
        <f t="shared" si="3"/>
        <v>8950</v>
      </c>
      <c r="Q218" s="6" t="s">
        <v>397</v>
      </c>
      <c r="R218" s="6" t="s">
        <v>1029</v>
      </c>
      <c r="S218" s="38" t="s">
        <v>1025</v>
      </c>
      <c r="T218" s="6">
        <v>100</v>
      </c>
    </row>
    <row r="219" spans="1:20" ht="89.25">
      <c r="B219" s="6">
        <v>203</v>
      </c>
      <c r="C219" s="36" t="s">
        <v>714</v>
      </c>
      <c r="D219" s="37" t="s">
        <v>715</v>
      </c>
      <c r="E219" s="6" t="s">
        <v>649</v>
      </c>
      <c r="F219" s="70" t="s">
        <v>824</v>
      </c>
      <c r="G219" s="70" t="s">
        <v>10</v>
      </c>
      <c r="H219" s="70" t="s">
        <v>825</v>
      </c>
      <c r="I219" s="70" t="s">
        <v>650</v>
      </c>
      <c r="J219" s="70" t="s">
        <v>824</v>
      </c>
      <c r="K219" s="70" t="s">
        <v>10</v>
      </c>
      <c r="L219" s="70" t="s">
        <v>595</v>
      </c>
      <c r="M219" s="38" t="s">
        <v>648</v>
      </c>
      <c r="N219" s="26">
        <v>2</v>
      </c>
      <c r="O219" s="57">
        <v>1339</v>
      </c>
      <c r="P219" s="62">
        <f t="shared" si="3"/>
        <v>2678</v>
      </c>
      <c r="Q219" s="6" t="s">
        <v>397</v>
      </c>
      <c r="R219" s="6" t="s">
        <v>1029</v>
      </c>
      <c r="S219" s="38" t="s">
        <v>1025</v>
      </c>
      <c r="T219" s="6">
        <v>100</v>
      </c>
    </row>
    <row r="220" spans="1:20" ht="25.5">
      <c r="B220" s="6">
        <v>204</v>
      </c>
      <c r="C220" s="16" t="s">
        <v>714</v>
      </c>
      <c r="D220" s="37" t="s">
        <v>715</v>
      </c>
      <c r="E220" s="6" t="s">
        <v>1031</v>
      </c>
      <c r="F220" s="70" t="s">
        <v>2185</v>
      </c>
      <c r="G220" s="70" t="s">
        <v>199</v>
      </c>
      <c r="H220" s="70" t="s">
        <v>2234</v>
      </c>
      <c r="I220" s="70" t="s">
        <v>1032</v>
      </c>
      <c r="J220" s="70" t="s">
        <v>2185</v>
      </c>
      <c r="K220" s="70" t="s">
        <v>199</v>
      </c>
      <c r="L220" s="70" t="s">
        <v>595</v>
      </c>
      <c r="M220" s="38" t="s">
        <v>648</v>
      </c>
      <c r="N220" s="26">
        <v>4</v>
      </c>
      <c r="O220" s="57">
        <v>2232</v>
      </c>
      <c r="P220" s="62">
        <f t="shared" si="3"/>
        <v>8928</v>
      </c>
      <c r="Q220" s="6" t="s">
        <v>397</v>
      </c>
      <c r="R220" s="6" t="s">
        <v>1029</v>
      </c>
      <c r="S220" s="38" t="s">
        <v>1025</v>
      </c>
      <c r="T220" s="6">
        <v>100</v>
      </c>
    </row>
    <row r="221" spans="1:20" ht="38.25">
      <c r="B221" s="6">
        <v>205</v>
      </c>
      <c r="C221" s="16" t="s">
        <v>714</v>
      </c>
      <c r="D221" s="37" t="s">
        <v>715</v>
      </c>
      <c r="E221" s="6" t="s">
        <v>653</v>
      </c>
      <c r="F221" s="70" t="s">
        <v>1633</v>
      </c>
      <c r="G221" s="70" t="s">
        <v>375</v>
      </c>
      <c r="H221" s="70" t="s">
        <v>1635</v>
      </c>
      <c r="I221" s="70" t="s">
        <v>654</v>
      </c>
      <c r="J221" s="70" t="s">
        <v>1633</v>
      </c>
      <c r="K221" s="70" t="s">
        <v>375</v>
      </c>
      <c r="L221" s="70" t="s">
        <v>595</v>
      </c>
      <c r="M221" s="6" t="s">
        <v>655</v>
      </c>
      <c r="N221" s="26">
        <v>2</v>
      </c>
      <c r="O221" s="57">
        <v>446</v>
      </c>
      <c r="P221" s="62">
        <f t="shared" si="3"/>
        <v>892</v>
      </c>
      <c r="Q221" s="6" t="s">
        <v>397</v>
      </c>
      <c r="R221" s="6" t="s">
        <v>1029</v>
      </c>
      <c r="S221" s="38" t="s">
        <v>1025</v>
      </c>
      <c r="T221" s="6">
        <v>100</v>
      </c>
    </row>
    <row r="222" spans="1:20" ht="38.25">
      <c r="B222" s="6">
        <v>206</v>
      </c>
      <c r="C222" s="36" t="s">
        <v>714</v>
      </c>
      <c r="D222" s="37" t="s">
        <v>715</v>
      </c>
      <c r="E222" s="6" t="s">
        <v>829</v>
      </c>
      <c r="F222" s="70" t="s">
        <v>830</v>
      </c>
      <c r="G222" s="70" t="s">
        <v>376</v>
      </c>
      <c r="H222" s="70" t="s">
        <v>831</v>
      </c>
      <c r="I222" s="70" t="s">
        <v>832</v>
      </c>
      <c r="J222" s="70" t="s">
        <v>1637</v>
      </c>
      <c r="K222" s="70" t="s">
        <v>376</v>
      </c>
      <c r="L222" s="70" t="s">
        <v>595</v>
      </c>
      <c r="M222" s="38" t="s">
        <v>648</v>
      </c>
      <c r="N222" s="26">
        <v>50</v>
      </c>
      <c r="O222" s="57">
        <v>179</v>
      </c>
      <c r="P222" s="62">
        <f t="shared" si="3"/>
        <v>8950</v>
      </c>
      <c r="Q222" s="6" t="s">
        <v>397</v>
      </c>
      <c r="R222" s="6" t="s">
        <v>1029</v>
      </c>
      <c r="S222" s="38" t="s">
        <v>1025</v>
      </c>
      <c r="T222" s="6">
        <v>100</v>
      </c>
    </row>
    <row r="223" spans="1:20" ht="25.5">
      <c r="B223" s="6">
        <v>207</v>
      </c>
      <c r="C223" s="16" t="s">
        <v>714</v>
      </c>
      <c r="D223" s="37" t="s">
        <v>715</v>
      </c>
      <c r="E223" s="6" t="s">
        <v>833</v>
      </c>
      <c r="F223" s="70" t="s">
        <v>11</v>
      </c>
      <c r="G223" s="70" t="s">
        <v>11</v>
      </c>
      <c r="H223" s="70" t="s">
        <v>834</v>
      </c>
      <c r="I223" s="70" t="s">
        <v>834</v>
      </c>
      <c r="J223" s="70" t="s">
        <v>11</v>
      </c>
      <c r="K223" s="70" t="s">
        <v>11</v>
      </c>
      <c r="L223" s="70" t="s">
        <v>595</v>
      </c>
      <c r="M223" s="6" t="s">
        <v>1486</v>
      </c>
      <c r="N223" s="26">
        <v>25</v>
      </c>
      <c r="O223" s="57">
        <v>313</v>
      </c>
      <c r="P223" s="62">
        <f t="shared" si="3"/>
        <v>7825</v>
      </c>
      <c r="Q223" s="6" t="s">
        <v>397</v>
      </c>
      <c r="R223" s="6" t="s">
        <v>1029</v>
      </c>
      <c r="S223" s="38" t="s">
        <v>1025</v>
      </c>
      <c r="T223" s="6">
        <v>100</v>
      </c>
    </row>
    <row r="224" spans="1:20" ht="76.5">
      <c r="B224" s="6">
        <v>208</v>
      </c>
      <c r="C224" s="36" t="s">
        <v>714</v>
      </c>
      <c r="D224" s="37" t="s">
        <v>715</v>
      </c>
      <c r="E224" s="6" t="s">
        <v>846</v>
      </c>
      <c r="F224" s="70" t="s">
        <v>771</v>
      </c>
      <c r="G224" s="70" t="s">
        <v>18</v>
      </c>
      <c r="H224" s="70" t="s">
        <v>2200</v>
      </c>
      <c r="I224" s="70" t="s">
        <v>1033</v>
      </c>
      <c r="J224" s="70" t="s">
        <v>771</v>
      </c>
      <c r="K224" s="70" t="s">
        <v>377</v>
      </c>
      <c r="L224" s="70" t="s">
        <v>595</v>
      </c>
      <c r="M224" s="6" t="s">
        <v>648</v>
      </c>
      <c r="N224" s="26">
        <v>2</v>
      </c>
      <c r="O224" s="57">
        <v>714</v>
      </c>
      <c r="P224" s="62">
        <f t="shared" si="3"/>
        <v>1428</v>
      </c>
      <c r="Q224" s="6" t="s">
        <v>397</v>
      </c>
      <c r="R224" s="6" t="s">
        <v>1029</v>
      </c>
      <c r="S224" s="38" t="s">
        <v>1025</v>
      </c>
      <c r="T224" s="6">
        <v>100</v>
      </c>
    </row>
    <row r="225" spans="2:20" ht="25.5">
      <c r="B225" s="6">
        <v>209</v>
      </c>
      <c r="C225" s="36" t="s">
        <v>714</v>
      </c>
      <c r="D225" s="37" t="s">
        <v>715</v>
      </c>
      <c r="E225" s="6" t="s">
        <v>2398</v>
      </c>
      <c r="F225" s="70" t="s">
        <v>378</v>
      </c>
      <c r="G225" s="70" t="s">
        <v>378</v>
      </c>
      <c r="H225" s="70" t="s">
        <v>2295</v>
      </c>
      <c r="I225" s="70" t="s">
        <v>835</v>
      </c>
      <c r="J225" s="70" t="s">
        <v>378</v>
      </c>
      <c r="K225" s="70" t="s">
        <v>198</v>
      </c>
      <c r="L225" s="70" t="s">
        <v>595</v>
      </c>
      <c r="M225" s="38" t="s">
        <v>648</v>
      </c>
      <c r="N225" s="26">
        <v>25</v>
      </c>
      <c r="O225" s="57">
        <v>67</v>
      </c>
      <c r="P225" s="62">
        <f t="shared" si="3"/>
        <v>1675</v>
      </c>
      <c r="Q225" s="6" t="s">
        <v>397</v>
      </c>
      <c r="R225" s="6" t="s">
        <v>1029</v>
      </c>
      <c r="S225" s="38" t="s">
        <v>1025</v>
      </c>
      <c r="T225" s="6">
        <v>100</v>
      </c>
    </row>
    <row r="226" spans="2:20" ht="38.25">
      <c r="B226" s="6">
        <v>210</v>
      </c>
      <c r="C226" s="36" t="s">
        <v>714</v>
      </c>
      <c r="D226" s="37" t="s">
        <v>715</v>
      </c>
      <c r="E226" s="6" t="s">
        <v>664</v>
      </c>
      <c r="F226" s="70" t="s">
        <v>836</v>
      </c>
      <c r="G226" s="70" t="s">
        <v>12</v>
      </c>
      <c r="H226" s="70" t="s">
        <v>1645</v>
      </c>
      <c r="I226" s="70" t="s">
        <v>665</v>
      </c>
      <c r="J226" s="70" t="s">
        <v>836</v>
      </c>
      <c r="K226" s="70" t="s">
        <v>12</v>
      </c>
      <c r="L226" s="70" t="s">
        <v>595</v>
      </c>
      <c r="M226" s="38" t="s">
        <v>648</v>
      </c>
      <c r="N226" s="26">
        <v>5</v>
      </c>
      <c r="O226" s="57">
        <v>1339</v>
      </c>
      <c r="P226" s="62">
        <f t="shared" si="3"/>
        <v>6695</v>
      </c>
      <c r="Q226" s="6" t="s">
        <v>397</v>
      </c>
      <c r="R226" s="6" t="s">
        <v>1029</v>
      </c>
      <c r="S226" s="38" t="s">
        <v>1025</v>
      </c>
      <c r="T226" s="6">
        <v>100</v>
      </c>
    </row>
    <row r="227" spans="2:20" ht="25.5">
      <c r="B227" s="6">
        <v>211</v>
      </c>
      <c r="C227" s="36" t="s">
        <v>714</v>
      </c>
      <c r="D227" s="37" t="s">
        <v>715</v>
      </c>
      <c r="E227" s="6" t="s">
        <v>414</v>
      </c>
      <c r="F227" s="70" t="s">
        <v>837</v>
      </c>
      <c r="G227" s="70" t="s">
        <v>379</v>
      </c>
      <c r="H227" s="70" t="s">
        <v>2281</v>
      </c>
      <c r="I227" s="70" t="s">
        <v>415</v>
      </c>
      <c r="J227" s="70" t="s">
        <v>2281</v>
      </c>
      <c r="K227" s="70" t="s">
        <v>379</v>
      </c>
      <c r="L227" s="70" t="s">
        <v>595</v>
      </c>
      <c r="M227" s="38" t="s">
        <v>648</v>
      </c>
      <c r="N227" s="26">
        <v>5</v>
      </c>
      <c r="O227" s="57">
        <v>1071</v>
      </c>
      <c r="P227" s="62">
        <f t="shared" si="3"/>
        <v>5355</v>
      </c>
      <c r="Q227" s="6" t="s">
        <v>397</v>
      </c>
      <c r="R227" s="6" t="s">
        <v>1029</v>
      </c>
      <c r="S227" s="38" t="s">
        <v>1025</v>
      </c>
      <c r="T227" s="6">
        <v>100</v>
      </c>
    </row>
    <row r="228" spans="2:20" ht="25.5">
      <c r="B228" s="6">
        <v>212</v>
      </c>
      <c r="C228" s="36" t="s">
        <v>714</v>
      </c>
      <c r="D228" s="37" t="s">
        <v>715</v>
      </c>
      <c r="E228" s="6" t="s">
        <v>666</v>
      </c>
      <c r="F228" s="70" t="s">
        <v>2245</v>
      </c>
      <c r="G228" s="70" t="s">
        <v>667</v>
      </c>
      <c r="H228" s="70" t="s">
        <v>2246</v>
      </c>
      <c r="I228" s="70" t="s">
        <v>2248</v>
      </c>
      <c r="J228" s="70" t="s">
        <v>2247</v>
      </c>
      <c r="K228" s="70" t="s">
        <v>380</v>
      </c>
      <c r="L228" s="70" t="s">
        <v>595</v>
      </c>
      <c r="M228" s="6" t="s">
        <v>1487</v>
      </c>
      <c r="N228" s="26">
        <v>1</v>
      </c>
      <c r="O228" s="57">
        <v>26786</v>
      </c>
      <c r="P228" s="62">
        <f t="shared" si="3"/>
        <v>26786</v>
      </c>
      <c r="Q228" s="6" t="s">
        <v>397</v>
      </c>
      <c r="R228" s="6" t="s">
        <v>1029</v>
      </c>
      <c r="S228" s="38" t="s">
        <v>1025</v>
      </c>
      <c r="T228" s="6">
        <v>100</v>
      </c>
    </row>
    <row r="229" spans="2:20" ht="93.75" customHeight="1">
      <c r="B229" s="6">
        <v>213</v>
      </c>
      <c r="C229" s="36" t="s">
        <v>714</v>
      </c>
      <c r="D229" s="37" t="s">
        <v>715</v>
      </c>
      <c r="E229" s="6" t="s">
        <v>1034</v>
      </c>
      <c r="F229" s="70" t="s">
        <v>2303</v>
      </c>
      <c r="G229" s="70" t="s">
        <v>1035</v>
      </c>
      <c r="H229" s="70" t="s">
        <v>2304</v>
      </c>
      <c r="I229" s="70" t="s">
        <v>1036</v>
      </c>
      <c r="J229" s="70" t="s">
        <v>2305</v>
      </c>
      <c r="K229" s="70" t="s">
        <v>381</v>
      </c>
      <c r="L229" s="70" t="s">
        <v>595</v>
      </c>
      <c r="M229" s="38" t="s">
        <v>648</v>
      </c>
      <c r="N229" s="26">
        <v>1</v>
      </c>
      <c r="O229" s="57">
        <v>26786</v>
      </c>
      <c r="P229" s="62">
        <f t="shared" si="3"/>
        <v>26786</v>
      </c>
      <c r="Q229" s="6" t="s">
        <v>397</v>
      </c>
      <c r="R229" s="6" t="s">
        <v>1029</v>
      </c>
      <c r="S229" s="38" t="s">
        <v>1025</v>
      </c>
      <c r="T229" s="6">
        <v>100</v>
      </c>
    </row>
    <row r="230" spans="2:20" ht="38.25">
      <c r="B230" s="6">
        <v>214</v>
      </c>
      <c r="C230" s="36" t="s">
        <v>714</v>
      </c>
      <c r="D230" s="37" t="s">
        <v>715</v>
      </c>
      <c r="E230" s="6" t="s">
        <v>416</v>
      </c>
      <c r="F230" s="70" t="s">
        <v>839</v>
      </c>
      <c r="G230" s="70" t="s">
        <v>381</v>
      </c>
      <c r="H230" s="70" t="s">
        <v>840</v>
      </c>
      <c r="I230" s="70" t="s">
        <v>417</v>
      </c>
      <c r="J230" s="70" t="s">
        <v>2301</v>
      </c>
      <c r="K230" s="70" t="s">
        <v>382</v>
      </c>
      <c r="L230" s="70" t="s">
        <v>595</v>
      </c>
      <c r="M230" s="38" t="s">
        <v>648</v>
      </c>
      <c r="N230" s="26">
        <v>1</v>
      </c>
      <c r="O230" s="57">
        <v>16071</v>
      </c>
      <c r="P230" s="62">
        <f t="shared" si="3"/>
        <v>16071</v>
      </c>
      <c r="Q230" s="6" t="s">
        <v>397</v>
      </c>
      <c r="R230" s="6" t="s">
        <v>1029</v>
      </c>
      <c r="S230" s="38" t="s">
        <v>1025</v>
      </c>
      <c r="T230" s="6">
        <v>100</v>
      </c>
    </row>
    <row r="231" spans="2:20" ht="127.5">
      <c r="B231" s="6">
        <v>215</v>
      </c>
      <c r="C231" s="36" t="s">
        <v>714</v>
      </c>
      <c r="D231" s="37" t="s">
        <v>715</v>
      </c>
      <c r="E231" s="6" t="s">
        <v>418</v>
      </c>
      <c r="F231" s="70" t="s">
        <v>2192</v>
      </c>
      <c r="G231" s="70" t="s">
        <v>13</v>
      </c>
      <c r="H231" s="70" t="s">
        <v>2194</v>
      </c>
      <c r="I231" s="70" t="s">
        <v>419</v>
      </c>
      <c r="J231" s="70" t="s">
        <v>2192</v>
      </c>
      <c r="K231" s="70" t="s">
        <v>13</v>
      </c>
      <c r="L231" s="70" t="s">
        <v>595</v>
      </c>
      <c r="M231" s="38" t="s">
        <v>648</v>
      </c>
      <c r="N231" s="26">
        <v>3</v>
      </c>
      <c r="O231" s="57">
        <v>2679</v>
      </c>
      <c r="P231" s="62">
        <f t="shared" si="3"/>
        <v>8037</v>
      </c>
      <c r="Q231" s="6" t="s">
        <v>397</v>
      </c>
      <c r="R231" s="6" t="s">
        <v>1029</v>
      </c>
      <c r="S231" s="38" t="s">
        <v>1025</v>
      </c>
      <c r="T231" s="6">
        <v>100</v>
      </c>
    </row>
    <row r="232" spans="2:20" ht="25.5">
      <c r="B232" s="6">
        <v>216</v>
      </c>
      <c r="C232" s="36" t="s">
        <v>714</v>
      </c>
      <c r="D232" s="37" t="s">
        <v>715</v>
      </c>
      <c r="E232" s="6" t="s">
        <v>420</v>
      </c>
      <c r="F232" s="70" t="s">
        <v>2232</v>
      </c>
      <c r="G232" s="70" t="s">
        <v>421</v>
      </c>
      <c r="H232" s="70" t="s">
        <v>2233</v>
      </c>
      <c r="I232" s="70" t="s">
        <v>422</v>
      </c>
      <c r="J232" s="70" t="s">
        <v>2232</v>
      </c>
      <c r="K232" s="70" t="s">
        <v>383</v>
      </c>
      <c r="L232" s="70" t="s">
        <v>595</v>
      </c>
      <c r="M232" s="38" t="s">
        <v>648</v>
      </c>
      <c r="N232" s="26">
        <v>1</v>
      </c>
      <c r="O232" s="57">
        <v>16071</v>
      </c>
      <c r="P232" s="62">
        <f t="shared" si="3"/>
        <v>16071</v>
      </c>
      <c r="Q232" s="6" t="s">
        <v>397</v>
      </c>
      <c r="R232" s="6" t="s">
        <v>1029</v>
      </c>
      <c r="S232" s="38" t="s">
        <v>1025</v>
      </c>
      <c r="T232" s="6">
        <v>100</v>
      </c>
    </row>
    <row r="233" spans="2:20" ht="51">
      <c r="B233" s="6">
        <v>217</v>
      </c>
      <c r="C233" s="16" t="s">
        <v>714</v>
      </c>
      <c r="D233" s="37" t="s">
        <v>715</v>
      </c>
      <c r="E233" s="6" t="s">
        <v>1010</v>
      </c>
      <c r="F233" s="70" t="s">
        <v>2086</v>
      </c>
      <c r="G233" s="70" t="s">
        <v>1011</v>
      </c>
      <c r="H233" s="70" t="s">
        <v>2087</v>
      </c>
      <c r="I233" s="70" t="s">
        <v>1012</v>
      </c>
      <c r="J233" s="70" t="s">
        <v>2086</v>
      </c>
      <c r="K233" s="70" t="s">
        <v>384</v>
      </c>
      <c r="L233" s="70" t="s">
        <v>595</v>
      </c>
      <c r="M233" s="38" t="s">
        <v>648</v>
      </c>
      <c r="N233" s="26">
        <v>1</v>
      </c>
      <c r="O233" s="57">
        <v>1786</v>
      </c>
      <c r="P233" s="62">
        <f t="shared" si="3"/>
        <v>1786</v>
      </c>
      <c r="Q233" s="6" t="s">
        <v>397</v>
      </c>
      <c r="R233" s="6" t="s">
        <v>1029</v>
      </c>
      <c r="S233" s="38" t="s">
        <v>1025</v>
      </c>
      <c r="T233" s="6">
        <v>100</v>
      </c>
    </row>
    <row r="234" spans="2:20" ht="63.75">
      <c r="B234" s="6">
        <v>218</v>
      </c>
      <c r="C234" s="36" t="s">
        <v>714</v>
      </c>
      <c r="D234" s="37" t="s">
        <v>715</v>
      </c>
      <c r="E234" s="6" t="s">
        <v>807</v>
      </c>
      <c r="F234" s="70" t="s">
        <v>808</v>
      </c>
      <c r="G234" s="70" t="s">
        <v>368</v>
      </c>
      <c r="H234" s="70" t="s">
        <v>809</v>
      </c>
      <c r="I234" s="70" t="s">
        <v>810</v>
      </c>
      <c r="J234" s="70" t="s">
        <v>808</v>
      </c>
      <c r="K234" s="70" t="s">
        <v>368</v>
      </c>
      <c r="L234" s="70" t="s">
        <v>595</v>
      </c>
      <c r="M234" s="38" t="s">
        <v>648</v>
      </c>
      <c r="N234" s="26">
        <v>5</v>
      </c>
      <c r="O234" s="57">
        <v>313</v>
      </c>
      <c r="P234" s="62">
        <f t="shared" si="3"/>
        <v>1565</v>
      </c>
      <c r="Q234" s="6" t="s">
        <v>616</v>
      </c>
      <c r="R234" s="15" t="s">
        <v>1479</v>
      </c>
      <c r="S234" s="38" t="s">
        <v>793</v>
      </c>
      <c r="T234" s="6">
        <v>100</v>
      </c>
    </row>
    <row r="235" spans="2:20" ht="33" customHeight="1">
      <c r="B235" s="6">
        <v>219</v>
      </c>
      <c r="C235" s="16" t="s">
        <v>714</v>
      </c>
      <c r="D235" s="37" t="s">
        <v>715</v>
      </c>
      <c r="E235" s="12" t="s">
        <v>811</v>
      </c>
      <c r="F235" s="70" t="s">
        <v>1602</v>
      </c>
      <c r="G235" s="70" t="s">
        <v>2387</v>
      </c>
      <c r="H235" s="70" t="s">
        <v>1603</v>
      </c>
      <c r="I235" s="70" t="s">
        <v>812</v>
      </c>
      <c r="J235" s="70" t="s">
        <v>1604</v>
      </c>
      <c r="K235" s="70" t="s">
        <v>5</v>
      </c>
      <c r="L235" s="70" t="s">
        <v>595</v>
      </c>
      <c r="M235" s="38" t="s">
        <v>648</v>
      </c>
      <c r="N235" s="26">
        <v>2</v>
      </c>
      <c r="O235" s="57">
        <v>714</v>
      </c>
      <c r="P235" s="62">
        <f t="shared" si="3"/>
        <v>1428</v>
      </c>
      <c r="Q235" s="6" t="s">
        <v>616</v>
      </c>
      <c r="R235" s="15" t="s">
        <v>1479</v>
      </c>
      <c r="S235" s="38" t="s">
        <v>793</v>
      </c>
      <c r="T235" s="6">
        <v>100</v>
      </c>
    </row>
    <row r="236" spans="2:20" ht="76.5">
      <c r="B236" s="6">
        <v>220</v>
      </c>
      <c r="C236" s="36" t="s">
        <v>714</v>
      </c>
      <c r="D236" s="37" t="s">
        <v>715</v>
      </c>
      <c r="E236" s="6" t="s">
        <v>813</v>
      </c>
      <c r="F236" s="70" t="s">
        <v>814</v>
      </c>
      <c r="G236" s="70" t="s">
        <v>6</v>
      </c>
      <c r="H236" s="70" t="s">
        <v>815</v>
      </c>
      <c r="I236" s="70" t="s">
        <v>816</v>
      </c>
      <c r="J236" s="70" t="s">
        <v>6</v>
      </c>
      <c r="K236" s="70" t="s">
        <v>6</v>
      </c>
      <c r="L236" s="70" t="s">
        <v>595</v>
      </c>
      <c r="M236" s="38" t="s">
        <v>648</v>
      </c>
      <c r="N236" s="26">
        <v>4</v>
      </c>
      <c r="O236" s="57">
        <v>3125</v>
      </c>
      <c r="P236" s="62">
        <f t="shared" si="3"/>
        <v>12500</v>
      </c>
      <c r="Q236" s="6" t="s">
        <v>616</v>
      </c>
      <c r="R236" s="15" t="s">
        <v>1479</v>
      </c>
      <c r="S236" s="38" t="s">
        <v>793</v>
      </c>
      <c r="T236" s="6">
        <v>100</v>
      </c>
    </row>
    <row r="237" spans="2:20" ht="41.25" customHeight="1">
      <c r="B237" s="6">
        <v>221</v>
      </c>
      <c r="C237" s="36" t="s">
        <v>714</v>
      </c>
      <c r="D237" s="37" t="s">
        <v>715</v>
      </c>
      <c r="E237" s="6" t="s">
        <v>638</v>
      </c>
      <c r="F237" s="70" t="s">
        <v>817</v>
      </c>
      <c r="G237" s="70" t="s">
        <v>369</v>
      </c>
      <c r="H237" s="70" t="s">
        <v>818</v>
      </c>
      <c r="I237" s="70" t="s">
        <v>639</v>
      </c>
      <c r="J237" s="70" t="s">
        <v>817</v>
      </c>
      <c r="K237" s="70" t="s">
        <v>369</v>
      </c>
      <c r="L237" s="70" t="s">
        <v>595</v>
      </c>
      <c r="M237" s="38" t="s">
        <v>648</v>
      </c>
      <c r="N237" s="26">
        <v>2</v>
      </c>
      <c r="O237" s="57">
        <v>223</v>
      </c>
      <c r="P237" s="62">
        <f t="shared" si="3"/>
        <v>446</v>
      </c>
      <c r="Q237" s="6" t="s">
        <v>616</v>
      </c>
      <c r="R237" s="15" t="s">
        <v>1479</v>
      </c>
      <c r="S237" s="38" t="s">
        <v>793</v>
      </c>
      <c r="T237" s="6">
        <v>100</v>
      </c>
    </row>
    <row r="238" spans="2:20" ht="76.5">
      <c r="B238" s="6">
        <v>222</v>
      </c>
      <c r="C238" s="16" t="s">
        <v>714</v>
      </c>
      <c r="D238" s="37" t="s">
        <v>715</v>
      </c>
      <c r="E238" s="6" t="s">
        <v>958</v>
      </c>
      <c r="F238" s="70" t="s">
        <v>1007</v>
      </c>
      <c r="G238" s="70" t="s">
        <v>370</v>
      </c>
      <c r="H238" s="70" t="s">
        <v>2179</v>
      </c>
      <c r="I238" s="70" t="s">
        <v>959</v>
      </c>
      <c r="J238" s="70" t="s">
        <v>1007</v>
      </c>
      <c r="K238" s="70" t="s">
        <v>370</v>
      </c>
      <c r="L238" s="70" t="s">
        <v>595</v>
      </c>
      <c r="M238" s="38" t="s">
        <v>648</v>
      </c>
      <c r="N238" s="26">
        <v>2</v>
      </c>
      <c r="O238" s="57">
        <v>313</v>
      </c>
      <c r="P238" s="62">
        <f t="shared" si="3"/>
        <v>626</v>
      </c>
      <c r="Q238" s="6" t="s">
        <v>616</v>
      </c>
      <c r="R238" s="15" t="s">
        <v>1479</v>
      </c>
      <c r="S238" s="38" t="s">
        <v>793</v>
      </c>
      <c r="T238" s="6">
        <v>100</v>
      </c>
    </row>
    <row r="239" spans="2:20" ht="102">
      <c r="B239" s="6">
        <v>223</v>
      </c>
      <c r="C239" s="36" t="s">
        <v>714</v>
      </c>
      <c r="D239" s="37" t="s">
        <v>715</v>
      </c>
      <c r="E239" s="6" t="s">
        <v>640</v>
      </c>
      <c r="F239" s="70" t="s">
        <v>819</v>
      </c>
      <c r="G239" s="70" t="s">
        <v>371</v>
      </c>
      <c r="H239" s="70" t="s">
        <v>820</v>
      </c>
      <c r="I239" s="70" t="s">
        <v>641</v>
      </c>
      <c r="J239" s="70" t="s">
        <v>819</v>
      </c>
      <c r="K239" s="70" t="s">
        <v>371</v>
      </c>
      <c r="L239" s="70" t="s">
        <v>595</v>
      </c>
      <c r="M239" s="38" t="s">
        <v>648</v>
      </c>
      <c r="N239" s="26">
        <v>1</v>
      </c>
      <c r="O239" s="57">
        <v>14286</v>
      </c>
      <c r="P239" s="62">
        <f t="shared" si="3"/>
        <v>14286</v>
      </c>
      <c r="Q239" s="6" t="s">
        <v>519</v>
      </c>
      <c r="R239" s="15" t="s">
        <v>1479</v>
      </c>
      <c r="S239" s="38" t="s">
        <v>793</v>
      </c>
      <c r="T239" s="6">
        <v>100</v>
      </c>
    </row>
    <row r="240" spans="2:20" ht="41.25" customHeight="1">
      <c r="B240" s="6">
        <v>224</v>
      </c>
      <c r="C240" s="36" t="s">
        <v>714</v>
      </c>
      <c r="D240" s="37" t="s">
        <v>715</v>
      </c>
      <c r="E240" s="6" t="s">
        <v>643</v>
      </c>
      <c r="F240" s="70" t="s">
        <v>2180</v>
      </c>
      <c r="G240" s="70" t="s">
        <v>372</v>
      </c>
      <c r="H240" s="70" t="s">
        <v>821</v>
      </c>
      <c r="I240" s="70" t="s">
        <v>644</v>
      </c>
      <c r="J240" s="70" t="s">
        <v>2180</v>
      </c>
      <c r="K240" s="70" t="s">
        <v>372</v>
      </c>
      <c r="L240" s="70" t="s">
        <v>595</v>
      </c>
      <c r="M240" s="38" t="s">
        <v>648</v>
      </c>
      <c r="N240" s="26">
        <v>1</v>
      </c>
      <c r="O240" s="57">
        <v>1786</v>
      </c>
      <c r="P240" s="62">
        <f t="shared" si="3"/>
        <v>1786</v>
      </c>
      <c r="Q240" s="6" t="s">
        <v>616</v>
      </c>
      <c r="R240" s="15" t="s">
        <v>1479</v>
      </c>
      <c r="S240" s="38" t="s">
        <v>793</v>
      </c>
      <c r="T240" s="6">
        <v>100</v>
      </c>
    </row>
    <row r="241" spans="2:20" ht="41.25" customHeight="1">
      <c r="B241" s="6">
        <v>225</v>
      </c>
      <c r="C241" s="36" t="s">
        <v>714</v>
      </c>
      <c r="D241" s="37" t="s">
        <v>715</v>
      </c>
      <c r="E241" s="6" t="s">
        <v>399</v>
      </c>
      <c r="F241" s="70" t="s">
        <v>822</v>
      </c>
      <c r="G241" s="70" t="s">
        <v>373</v>
      </c>
      <c r="H241" s="70" t="s">
        <v>823</v>
      </c>
      <c r="I241" s="70" t="s">
        <v>400</v>
      </c>
      <c r="J241" s="70" t="s">
        <v>822</v>
      </c>
      <c r="K241" s="70" t="s">
        <v>373</v>
      </c>
      <c r="L241" s="70" t="s">
        <v>595</v>
      </c>
      <c r="M241" s="6" t="s">
        <v>673</v>
      </c>
      <c r="N241" s="26">
        <v>5</v>
      </c>
      <c r="O241" s="57">
        <v>156</v>
      </c>
      <c r="P241" s="62">
        <f t="shared" si="3"/>
        <v>780</v>
      </c>
      <c r="Q241" s="6" t="s">
        <v>616</v>
      </c>
      <c r="R241" s="15" t="s">
        <v>1479</v>
      </c>
      <c r="S241" s="38" t="s">
        <v>793</v>
      </c>
      <c r="T241" s="6">
        <v>100</v>
      </c>
    </row>
    <row r="242" spans="2:20" ht="41.25" customHeight="1">
      <c r="B242" s="6">
        <v>226</v>
      </c>
      <c r="C242" s="16" t="s">
        <v>714</v>
      </c>
      <c r="D242" s="37" t="s">
        <v>715</v>
      </c>
      <c r="E242" s="6" t="s">
        <v>1083</v>
      </c>
      <c r="F242" s="70" t="s">
        <v>374</v>
      </c>
      <c r="G242" s="70" t="s">
        <v>374</v>
      </c>
      <c r="H242" s="70" t="s">
        <v>1629</v>
      </c>
      <c r="I242" s="70" t="s">
        <v>1084</v>
      </c>
      <c r="J242" s="70" t="s">
        <v>193</v>
      </c>
      <c r="K242" s="70" t="s">
        <v>374</v>
      </c>
      <c r="L242" s="70" t="s">
        <v>595</v>
      </c>
      <c r="M242" s="6" t="s">
        <v>655</v>
      </c>
      <c r="N242" s="26">
        <v>50</v>
      </c>
      <c r="O242" s="57">
        <v>179</v>
      </c>
      <c r="P242" s="62">
        <f t="shared" si="3"/>
        <v>8950</v>
      </c>
      <c r="Q242" s="6" t="s">
        <v>616</v>
      </c>
      <c r="R242" s="15" t="s">
        <v>1479</v>
      </c>
      <c r="S242" s="38" t="s">
        <v>793</v>
      </c>
      <c r="T242" s="6">
        <v>100</v>
      </c>
    </row>
    <row r="243" spans="2:20" ht="89.25">
      <c r="B243" s="6">
        <v>227</v>
      </c>
      <c r="C243" s="36" t="s">
        <v>714</v>
      </c>
      <c r="D243" s="37" t="s">
        <v>715</v>
      </c>
      <c r="E243" s="6" t="s">
        <v>649</v>
      </c>
      <c r="F243" s="70" t="s">
        <v>824</v>
      </c>
      <c r="G243" s="70" t="s">
        <v>10</v>
      </c>
      <c r="H243" s="70" t="s">
        <v>825</v>
      </c>
      <c r="I243" s="70" t="s">
        <v>650</v>
      </c>
      <c r="J243" s="70" t="s">
        <v>824</v>
      </c>
      <c r="K243" s="70" t="s">
        <v>10</v>
      </c>
      <c r="L243" s="70" t="s">
        <v>595</v>
      </c>
      <c r="M243" s="38" t="s">
        <v>648</v>
      </c>
      <c r="N243" s="26">
        <v>2</v>
      </c>
      <c r="O243" s="57">
        <v>1339</v>
      </c>
      <c r="P243" s="62">
        <f t="shared" si="3"/>
        <v>2678</v>
      </c>
      <c r="Q243" s="6" t="s">
        <v>505</v>
      </c>
      <c r="R243" s="15" t="s">
        <v>1479</v>
      </c>
      <c r="S243" s="38" t="s">
        <v>793</v>
      </c>
      <c r="T243" s="6">
        <v>100</v>
      </c>
    </row>
    <row r="244" spans="2:20" ht="41.25" customHeight="1">
      <c r="B244" s="6">
        <v>228</v>
      </c>
      <c r="C244" s="16" t="s">
        <v>714</v>
      </c>
      <c r="D244" s="37" t="s">
        <v>715</v>
      </c>
      <c r="E244" s="6" t="s">
        <v>826</v>
      </c>
      <c r="F244" s="70" t="s">
        <v>827</v>
      </c>
      <c r="G244" s="70" t="s">
        <v>828</v>
      </c>
      <c r="H244" s="70" t="s">
        <v>827</v>
      </c>
      <c r="I244" s="70" t="s">
        <v>828</v>
      </c>
      <c r="J244" s="70" t="s">
        <v>2185</v>
      </c>
      <c r="K244" s="70" t="s">
        <v>199</v>
      </c>
      <c r="L244" s="70" t="s">
        <v>595</v>
      </c>
      <c r="M244" s="38" t="s">
        <v>648</v>
      </c>
      <c r="N244" s="26">
        <v>4</v>
      </c>
      <c r="O244" s="57">
        <v>2232</v>
      </c>
      <c r="P244" s="62">
        <f t="shared" si="3"/>
        <v>8928</v>
      </c>
      <c r="Q244" s="6" t="s">
        <v>519</v>
      </c>
      <c r="R244" s="15" t="s">
        <v>1479</v>
      </c>
      <c r="S244" s="38" t="s">
        <v>793</v>
      </c>
      <c r="T244" s="6">
        <v>100</v>
      </c>
    </row>
    <row r="245" spans="2:20" ht="41.25" customHeight="1">
      <c r="B245" s="6">
        <v>229</v>
      </c>
      <c r="C245" s="16" t="s">
        <v>714</v>
      </c>
      <c r="D245" s="37" t="s">
        <v>715</v>
      </c>
      <c r="E245" s="6" t="s">
        <v>653</v>
      </c>
      <c r="F245" s="70" t="s">
        <v>1633</v>
      </c>
      <c r="G245" s="70" t="s">
        <v>375</v>
      </c>
      <c r="H245" s="70" t="s">
        <v>1635</v>
      </c>
      <c r="I245" s="70" t="s">
        <v>654</v>
      </c>
      <c r="J245" s="70" t="s">
        <v>1633</v>
      </c>
      <c r="K245" s="70" t="s">
        <v>375</v>
      </c>
      <c r="L245" s="70" t="s">
        <v>595</v>
      </c>
      <c r="M245" s="6" t="s">
        <v>655</v>
      </c>
      <c r="N245" s="26">
        <v>2</v>
      </c>
      <c r="O245" s="57">
        <v>446</v>
      </c>
      <c r="P245" s="62">
        <f t="shared" si="3"/>
        <v>892</v>
      </c>
      <c r="Q245" s="6" t="s">
        <v>505</v>
      </c>
      <c r="R245" s="15" t="s">
        <v>1479</v>
      </c>
      <c r="S245" s="38" t="s">
        <v>793</v>
      </c>
      <c r="T245" s="6">
        <v>100</v>
      </c>
    </row>
    <row r="246" spans="2:20" ht="41.25" customHeight="1">
      <c r="B246" s="6">
        <v>230</v>
      </c>
      <c r="C246" s="36" t="s">
        <v>714</v>
      </c>
      <c r="D246" s="37" t="s">
        <v>715</v>
      </c>
      <c r="E246" s="6" t="s">
        <v>829</v>
      </c>
      <c r="F246" s="70" t="s">
        <v>830</v>
      </c>
      <c r="G246" s="70" t="s">
        <v>376</v>
      </c>
      <c r="H246" s="70" t="s">
        <v>831</v>
      </c>
      <c r="I246" s="70" t="s">
        <v>832</v>
      </c>
      <c r="J246" s="70" t="s">
        <v>1637</v>
      </c>
      <c r="K246" s="70" t="s">
        <v>376</v>
      </c>
      <c r="L246" s="70" t="s">
        <v>595</v>
      </c>
      <c r="M246" s="38" t="s">
        <v>648</v>
      </c>
      <c r="N246" s="26">
        <v>50</v>
      </c>
      <c r="O246" s="57">
        <v>179</v>
      </c>
      <c r="P246" s="62">
        <f t="shared" si="3"/>
        <v>8950</v>
      </c>
      <c r="Q246" s="6" t="s">
        <v>616</v>
      </c>
      <c r="R246" s="15" t="s">
        <v>1479</v>
      </c>
      <c r="S246" s="38" t="s">
        <v>793</v>
      </c>
      <c r="T246" s="6">
        <v>100</v>
      </c>
    </row>
    <row r="247" spans="2:20" ht="41.25" customHeight="1">
      <c r="B247" s="6">
        <v>231</v>
      </c>
      <c r="C247" s="16" t="s">
        <v>714</v>
      </c>
      <c r="D247" s="37" t="s">
        <v>715</v>
      </c>
      <c r="E247" s="6" t="s">
        <v>833</v>
      </c>
      <c r="F247" s="70" t="s">
        <v>11</v>
      </c>
      <c r="G247" s="70" t="s">
        <v>11</v>
      </c>
      <c r="H247" s="70" t="s">
        <v>834</v>
      </c>
      <c r="I247" s="70" t="s">
        <v>834</v>
      </c>
      <c r="J247" s="70" t="s">
        <v>11</v>
      </c>
      <c r="K247" s="70" t="s">
        <v>11</v>
      </c>
      <c r="L247" s="70" t="s">
        <v>595</v>
      </c>
      <c r="M247" s="6" t="s">
        <v>1486</v>
      </c>
      <c r="N247" s="26">
        <v>25</v>
      </c>
      <c r="O247" s="57">
        <v>313</v>
      </c>
      <c r="P247" s="62">
        <f t="shared" si="3"/>
        <v>7825</v>
      </c>
      <c r="Q247" s="6" t="s">
        <v>506</v>
      </c>
      <c r="R247" s="15" t="s">
        <v>1479</v>
      </c>
      <c r="S247" s="38" t="s">
        <v>793</v>
      </c>
      <c r="T247" s="6">
        <v>100</v>
      </c>
    </row>
    <row r="248" spans="2:20" ht="41.25" customHeight="1">
      <c r="B248" s="6">
        <v>232</v>
      </c>
      <c r="C248" s="36" t="s">
        <v>714</v>
      </c>
      <c r="D248" s="37" t="s">
        <v>715</v>
      </c>
      <c r="E248" s="6" t="s">
        <v>898</v>
      </c>
      <c r="F248" s="70" t="s">
        <v>771</v>
      </c>
      <c r="G248" s="70" t="s">
        <v>18</v>
      </c>
      <c r="H248" s="70" t="s">
        <v>2188</v>
      </c>
      <c r="I248" s="70" t="s">
        <v>674</v>
      </c>
      <c r="J248" s="70" t="s">
        <v>771</v>
      </c>
      <c r="K248" s="70" t="s">
        <v>18</v>
      </c>
      <c r="L248" s="70" t="s">
        <v>595</v>
      </c>
      <c r="M248" s="6" t="s">
        <v>484</v>
      </c>
      <c r="N248" s="26">
        <v>2</v>
      </c>
      <c r="O248" s="57">
        <v>714</v>
      </c>
      <c r="P248" s="62">
        <f t="shared" si="3"/>
        <v>1428</v>
      </c>
      <c r="Q248" s="6" t="s">
        <v>397</v>
      </c>
      <c r="R248" s="15" t="s">
        <v>1479</v>
      </c>
      <c r="S248" s="38" t="s">
        <v>793</v>
      </c>
      <c r="T248" s="6">
        <v>100</v>
      </c>
    </row>
    <row r="249" spans="2:20" ht="41.25" customHeight="1">
      <c r="B249" s="6">
        <v>233</v>
      </c>
      <c r="C249" s="36" t="s">
        <v>714</v>
      </c>
      <c r="D249" s="37" t="s">
        <v>715</v>
      </c>
      <c r="E249" s="6" t="s">
        <v>2398</v>
      </c>
      <c r="F249" s="70" t="s">
        <v>378</v>
      </c>
      <c r="G249" s="70" t="s">
        <v>378</v>
      </c>
      <c r="H249" s="70" t="s">
        <v>2295</v>
      </c>
      <c r="I249" s="70" t="s">
        <v>835</v>
      </c>
      <c r="J249" s="70" t="s">
        <v>378</v>
      </c>
      <c r="K249" s="70" t="s">
        <v>198</v>
      </c>
      <c r="L249" s="70" t="s">
        <v>595</v>
      </c>
      <c r="M249" s="38" t="s">
        <v>648</v>
      </c>
      <c r="N249" s="26">
        <v>25</v>
      </c>
      <c r="O249" s="57">
        <v>67</v>
      </c>
      <c r="P249" s="62">
        <f t="shared" si="3"/>
        <v>1675</v>
      </c>
      <c r="Q249" s="6" t="s">
        <v>506</v>
      </c>
      <c r="R249" s="15" t="s">
        <v>1479</v>
      </c>
      <c r="S249" s="38" t="s">
        <v>793</v>
      </c>
      <c r="T249" s="6">
        <v>100</v>
      </c>
    </row>
    <row r="250" spans="2:20" ht="41.25" customHeight="1">
      <c r="B250" s="6">
        <v>234</v>
      </c>
      <c r="C250" s="36" t="s">
        <v>714</v>
      </c>
      <c r="D250" s="37" t="s">
        <v>715</v>
      </c>
      <c r="E250" s="6" t="s">
        <v>664</v>
      </c>
      <c r="F250" s="70" t="s">
        <v>836</v>
      </c>
      <c r="G250" s="70" t="s">
        <v>12</v>
      </c>
      <c r="H250" s="70" t="s">
        <v>1645</v>
      </c>
      <c r="I250" s="70" t="s">
        <v>665</v>
      </c>
      <c r="J250" s="70" t="s">
        <v>836</v>
      </c>
      <c r="K250" s="70" t="s">
        <v>12</v>
      </c>
      <c r="L250" s="70" t="s">
        <v>595</v>
      </c>
      <c r="M250" s="38" t="s">
        <v>648</v>
      </c>
      <c r="N250" s="26">
        <v>5</v>
      </c>
      <c r="O250" s="57">
        <v>1339</v>
      </c>
      <c r="P250" s="62">
        <f t="shared" si="3"/>
        <v>6695</v>
      </c>
      <c r="Q250" s="6" t="s">
        <v>519</v>
      </c>
      <c r="R250" s="15" t="s">
        <v>1479</v>
      </c>
      <c r="S250" s="38" t="s">
        <v>793</v>
      </c>
      <c r="T250" s="6">
        <v>100</v>
      </c>
    </row>
    <row r="251" spans="2:20" ht="41.25" customHeight="1">
      <c r="B251" s="6">
        <v>235</v>
      </c>
      <c r="C251" s="36" t="s">
        <v>714</v>
      </c>
      <c r="D251" s="37" t="s">
        <v>715</v>
      </c>
      <c r="E251" s="6" t="s">
        <v>414</v>
      </c>
      <c r="F251" s="70" t="s">
        <v>837</v>
      </c>
      <c r="G251" s="70" t="s">
        <v>379</v>
      </c>
      <c r="H251" s="70" t="s">
        <v>2281</v>
      </c>
      <c r="I251" s="70" t="s">
        <v>415</v>
      </c>
      <c r="J251" s="70" t="s">
        <v>2281</v>
      </c>
      <c r="K251" s="70" t="s">
        <v>379</v>
      </c>
      <c r="L251" s="70" t="s">
        <v>595</v>
      </c>
      <c r="M251" s="38" t="s">
        <v>648</v>
      </c>
      <c r="N251" s="26">
        <v>5</v>
      </c>
      <c r="O251" s="57">
        <v>1071</v>
      </c>
      <c r="P251" s="62">
        <f t="shared" si="3"/>
        <v>5355</v>
      </c>
      <c r="Q251" s="6" t="s">
        <v>397</v>
      </c>
      <c r="R251" s="15" t="s">
        <v>1479</v>
      </c>
      <c r="S251" s="38" t="s">
        <v>793</v>
      </c>
      <c r="T251" s="6">
        <v>100</v>
      </c>
    </row>
    <row r="252" spans="2:20" ht="41.25" customHeight="1">
      <c r="B252" s="6">
        <v>236</v>
      </c>
      <c r="C252" s="36" t="s">
        <v>714</v>
      </c>
      <c r="D252" s="37" t="s">
        <v>715</v>
      </c>
      <c r="E252" s="6" t="s">
        <v>666</v>
      </c>
      <c r="F252" s="70" t="s">
        <v>2245</v>
      </c>
      <c r="G252" s="70" t="s">
        <v>667</v>
      </c>
      <c r="H252" s="70" t="s">
        <v>2246</v>
      </c>
      <c r="I252" s="70" t="s">
        <v>2248</v>
      </c>
      <c r="J252" s="70" t="s">
        <v>2247</v>
      </c>
      <c r="K252" s="70" t="s">
        <v>380</v>
      </c>
      <c r="L252" s="70" t="s">
        <v>595</v>
      </c>
      <c r="M252" s="6" t="s">
        <v>1487</v>
      </c>
      <c r="N252" s="26">
        <v>1</v>
      </c>
      <c r="O252" s="57">
        <v>26786</v>
      </c>
      <c r="P252" s="62">
        <f t="shared" si="3"/>
        <v>26786</v>
      </c>
      <c r="Q252" s="6" t="s">
        <v>395</v>
      </c>
      <c r="R252" s="15" t="s">
        <v>1479</v>
      </c>
      <c r="S252" s="38" t="s">
        <v>793</v>
      </c>
      <c r="T252" s="6">
        <v>100</v>
      </c>
    </row>
    <row r="253" spans="2:20" ht="41.25" customHeight="1">
      <c r="B253" s="6">
        <v>237</v>
      </c>
      <c r="C253" s="36" t="s">
        <v>714</v>
      </c>
      <c r="D253" s="37" t="s">
        <v>715</v>
      </c>
      <c r="E253" s="6" t="s">
        <v>416</v>
      </c>
      <c r="F253" s="70" t="s">
        <v>839</v>
      </c>
      <c r="G253" s="70" t="s">
        <v>381</v>
      </c>
      <c r="H253" s="70" t="s">
        <v>840</v>
      </c>
      <c r="I253" s="70" t="s">
        <v>417</v>
      </c>
      <c r="J253" s="70" t="s">
        <v>2305</v>
      </c>
      <c r="K253" s="70" t="s">
        <v>381</v>
      </c>
      <c r="L253" s="70" t="s">
        <v>595</v>
      </c>
      <c r="M253" s="38" t="s">
        <v>648</v>
      </c>
      <c r="N253" s="26">
        <v>1</v>
      </c>
      <c r="O253" s="57">
        <v>26786</v>
      </c>
      <c r="P253" s="62">
        <f t="shared" si="3"/>
        <v>26786</v>
      </c>
      <c r="Q253" s="6" t="s">
        <v>519</v>
      </c>
      <c r="R253" s="15" t="s">
        <v>1479</v>
      </c>
      <c r="S253" s="38" t="s">
        <v>793</v>
      </c>
      <c r="T253" s="6">
        <v>100</v>
      </c>
    </row>
    <row r="254" spans="2:20" ht="41.25" customHeight="1">
      <c r="B254" s="6">
        <v>238</v>
      </c>
      <c r="C254" s="36" t="s">
        <v>714</v>
      </c>
      <c r="D254" s="37" t="s">
        <v>715</v>
      </c>
      <c r="E254" s="6" t="s">
        <v>416</v>
      </c>
      <c r="F254" s="70" t="s">
        <v>839</v>
      </c>
      <c r="G254" s="70" t="s">
        <v>381</v>
      </c>
      <c r="H254" s="70" t="s">
        <v>840</v>
      </c>
      <c r="I254" s="70" t="s">
        <v>417</v>
      </c>
      <c r="J254" s="70" t="s">
        <v>2301</v>
      </c>
      <c r="K254" s="70" t="s">
        <v>382</v>
      </c>
      <c r="L254" s="70" t="s">
        <v>595</v>
      </c>
      <c r="M254" s="38" t="s">
        <v>648</v>
      </c>
      <c r="N254" s="26">
        <v>1</v>
      </c>
      <c r="O254" s="57">
        <f>P254/N254</f>
        <v>0</v>
      </c>
      <c r="P254" s="62">
        <f>16071-16071</f>
        <v>0</v>
      </c>
      <c r="Q254" s="6" t="s">
        <v>519</v>
      </c>
      <c r="R254" s="15" t="s">
        <v>1479</v>
      </c>
      <c r="S254" s="38" t="s">
        <v>793</v>
      </c>
      <c r="T254" s="6">
        <v>100</v>
      </c>
    </row>
    <row r="255" spans="2:20" ht="41.25" customHeight="1">
      <c r="B255" s="6">
        <v>239</v>
      </c>
      <c r="C255" s="36" t="s">
        <v>714</v>
      </c>
      <c r="D255" s="37" t="s">
        <v>715</v>
      </c>
      <c r="E255" s="6" t="s">
        <v>671</v>
      </c>
      <c r="F255" s="70" t="s">
        <v>2192</v>
      </c>
      <c r="G255" s="70" t="s">
        <v>13</v>
      </c>
      <c r="H255" s="70" t="s">
        <v>2193</v>
      </c>
      <c r="I255" s="70" t="s">
        <v>672</v>
      </c>
      <c r="J255" s="70" t="s">
        <v>2192</v>
      </c>
      <c r="K255" s="70" t="s">
        <v>13</v>
      </c>
      <c r="L255" s="70" t="s">
        <v>595</v>
      </c>
      <c r="M255" s="38" t="s">
        <v>648</v>
      </c>
      <c r="N255" s="26">
        <v>3</v>
      </c>
      <c r="O255" s="57">
        <v>2679</v>
      </c>
      <c r="P255" s="62">
        <f t="shared" si="3"/>
        <v>8037</v>
      </c>
      <c r="Q255" s="6" t="s">
        <v>397</v>
      </c>
      <c r="R255" s="15" t="s">
        <v>1479</v>
      </c>
      <c r="S255" s="38" t="s">
        <v>793</v>
      </c>
      <c r="T255" s="6">
        <v>100</v>
      </c>
    </row>
    <row r="256" spans="2:20" ht="41.25" customHeight="1">
      <c r="B256" s="6">
        <v>240</v>
      </c>
      <c r="C256" s="36" t="s">
        <v>714</v>
      </c>
      <c r="D256" s="37" t="s">
        <v>715</v>
      </c>
      <c r="E256" s="6" t="s">
        <v>420</v>
      </c>
      <c r="F256" s="70" t="s">
        <v>2232</v>
      </c>
      <c r="G256" s="70" t="s">
        <v>421</v>
      </c>
      <c r="H256" s="70" t="s">
        <v>2233</v>
      </c>
      <c r="I256" s="70" t="s">
        <v>422</v>
      </c>
      <c r="J256" s="70" t="s">
        <v>2232</v>
      </c>
      <c r="K256" s="70" t="s">
        <v>383</v>
      </c>
      <c r="L256" s="70" t="s">
        <v>595</v>
      </c>
      <c r="M256" s="38" t="s">
        <v>648</v>
      </c>
      <c r="N256" s="26">
        <v>1</v>
      </c>
      <c r="O256" s="57">
        <v>16071</v>
      </c>
      <c r="P256" s="62">
        <f t="shared" si="3"/>
        <v>16071</v>
      </c>
      <c r="Q256" s="6" t="s">
        <v>505</v>
      </c>
      <c r="R256" s="15" t="s">
        <v>1479</v>
      </c>
      <c r="S256" s="38" t="s">
        <v>793</v>
      </c>
      <c r="T256" s="6">
        <v>100</v>
      </c>
    </row>
    <row r="257" spans="1:20" ht="41.25" customHeight="1">
      <c r="B257" s="6">
        <v>241</v>
      </c>
      <c r="C257" s="16" t="s">
        <v>714</v>
      </c>
      <c r="D257" s="37" t="s">
        <v>715</v>
      </c>
      <c r="E257" s="6" t="s">
        <v>1010</v>
      </c>
      <c r="F257" s="70" t="s">
        <v>2086</v>
      </c>
      <c r="G257" s="70" t="s">
        <v>1011</v>
      </c>
      <c r="H257" s="70" t="s">
        <v>2087</v>
      </c>
      <c r="I257" s="70" t="s">
        <v>1012</v>
      </c>
      <c r="J257" s="70" t="s">
        <v>2086</v>
      </c>
      <c r="K257" s="70" t="s">
        <v>384</v>
      </c>
      <c r="L257" s="70" t="s">
        <v>595</v>
      </c>
      <c r="M257" s="38" t="s">
        <v>648</v>
      </c>
      <c r="N257" s="26">
        <v>1</v>
      </c>
      <c r="O257" s="57">
        <v>1786</v>
      </c>
      <c r="P257" s="62">
        <f t="shared" si="3"/>
        <v>1786</v>
      </c>
      <c r="Q257" s="6" t="s">
        <v>505</v>
      </c>
      <c r="R257" s="15" t="s">
        <v>1479</v>
      </c>
      <c r="S257" s="38" t="s">
        <v>793</v>
      </c>
      <c r="T257" s="6">
        <v>100</v>
      </c>
    </row>
    <row r="258" spans="1:20" s="14" customFormat="1" ht="63.75">
      <c r="A258" s="17"/>
      <c r="B258" s="6">
        <v>242</v>
      </c>
      <c r="C258" s="36" t="s">
        <v>714</v>
      </c>
      <c r="D258" s="37" t="s">
        <v>715</v>
      </c>
      <c r="E258" s="6" t="s">
        <v>807</v>
      </c>
      <c r="F258" s="70" t="s">
        <v>808</v>
      </c>
      <c r="G258" s="70" t="s">
        <v>368</v>
      </c>
      <c r="H258" s="70" t="s">
        <v>809</v>
      </c>
      <c r="I258" s="70" t="s">
        <v>810</v>
      </c>
      <c r="J258" s="70" t="s">
        <v>808</v>
      </c>
      <c r="K258" s="70" t="s">
        <v>368</v>
      </c>
      <c r="L258" s="70" t="s">
        <v>595</v>
      </c>
      <c r="M258" s="38" t="s">
        <v>648</v>
      </c>
      <c r="N258" s="26">
        <v>5</v>
      </c>
      <c r="O258" s="57">
        <v>313</v>
      </c>
      <c r="P258" s="62">
        <f t="shared" si="3"/>
        <v>1565</v>
      </c>
      <c r="Q258" s="6" t="s">
        <v>397</v>
      </c>
      <c r="R258" s="6" t="s">
        <v>1029</v>
      </c>
      <c r="S258" s="38" t="s">
        <v>2031</v>
      </c>
      <c r="T258" s="26">
        <v>100</v>
      </c>
    </row>
    <row r="259" spans="1:20" s="14" customFormat="1" ht="25.5">
      <c r="A259" s="17"/>
      <c r="B259" s="6">
        <v>243</v>
      </c>
      <c r="C259" s="16" t="s">
        <v>714</v>
      </c>
      <c r="D259" s="37" t="s">
        <v>715</v>
      </c>
      <c r="E259" s="12" t="s">
        <v>811</v>
      </c>
      <c r="F259" s="70" t="s">
        <v>1602</v>
      </c>
      <c r="G259" s="70" t="s">
        <v>2387</v>
      </c>
      <c r="H259" s="70" t="s">
        <v>1603</v>
      </c>
      <c r="I259" s="70" t="s">
        <v>812</v>
      </c>
      <c r="J259" s="70" t="s">
        <v>1604</v>
      </c>
      <c r="K259" s="70" t="s">
        <v>5</v>
      </c>
      <c r="L259" s="70" t="s">
        <v>595</v>
      </c>
      <c r="M259" s="38" t="s">
        <v>648</v>
      </c>
      <c r="N259" s="26">
        <v>2</v>
      </c>
      <c r="O259" s="57">
        <v>714</v>
      </c>
      <c r="P259" s="62">
        <f t="shared" si="3"/>
        <v>1428</v>
      </c>
      <c r="Q259" s="6" t="s">
        <v>397</v>
      </c>
      <c r="R259" s="6" t="s">
        <v>1029</v>
      </c>
      <c r="S259" s="38" t="s">
        <v>2031</v>
      </c>
      <c r="T259" s="26">
        <v>100</v>
      </c>
    </row>
    <row r="260" spans="1:20" s="14" customFormat="1" ht="51">
      <c r="A260" s="17"/>
      <c r="B260" s="6">
        <v>244</v>
      </c>
      <c r="C260" s="36" t="s">
        <v>714</v>
      </c>
      <c r="D260" s="37" t="s">
        <v>715</v>
      </c>
      <c r="E260" s="6" t="s">
        <v>1005</v>
      </c>
      <c r="F260" s="70" t="s">
        <v>814</v>
      </c>
      <c r="G260" s="70" t="s">
        <v>6</v>
      </c>
      <c r="H260" s="70" t="s">
        <v>2294</v>
      </c>
      <c r="I260" s="70" t="s">
        <v>1006</v>
      </c>
      <c r="J260" s="70" t="s">
        <v>6</v>
      </c>
      <c r="K260" s="70" t="s">
        <v>6</v>
      </c>
      <c r="L260" s="70" t="s">
        <v>595</v>
      </c>
      <c r="M260" s="38" t="s">
        <v>648</v>
      </c>
      <c r="N260" s="26">
        <v>4</v>
      </c>
      <c r="O260" s="57">
        <v>3125</v>
      </c>
      <c r="P260" s="62">
        <f t="shared" si="3"/>
        <v>12500</v>
      </c>
      <c r="Q260" s="6" t="s">
        <v>397</v>
      </c>
      <c r="R260" s="6" t="s">
        <v>770</v>
      </c>
      <c r="S260" s="38" t="s">
        <v>2031</v>
      </c>
      <c r="T260" s="26">
        <v>100</v>
      </c>
    </row>
    <row r="261" spans="1:20" s="14" customFormat="1" ht="25.5">
      <c r="A261" s="17"/>
      <c r="B261" s="6">
        <v>245</v>
      </c>
      <c r="C261" s="36" t="s">
        <v>714</v>
      </c>
      <c r="D261" s="37" t="s">
        <v>715</v>
      </c>
      <c r="E261" s="6" t="s">
        <v>638</v>
      </c>
      <c r="F261" s="70" t="s">
        <v>817</v>
      </c>
      <c r="G261" s="70" t="s">
        <v>369</v>
      </c>
      <c r="H261" s="70" t="s">
        <v>818</v>
      </c>
      <c r="I261" s="70" t="s">
        <v>639</v>
      </c>
      <c r="J261" s="70" t="s">
        <v>817</v>
      </c>
      <c r="K261" s="70" t="s">
        <v>369</v>
      </c>
      <c r="L261" s="70" t="s">
        <v>595</v>
      </c>
      <c r="M261" s="38" t="s">
        <v>648</v>
      </c>
      <c r="N261" s="26">
        <v>2</v>
      </c>
      <c r="O261" s="57">
        <v>223</v>
      </c>
      <c r="P261" s="62">
        <f t="shared" si="3"/>
        <v>446</v>
      </c>
      <c r="Q261" s="6" t="s">
        <v>397</v>
      </c>
      <c r="R261" s="6" t="s">
        <v>1029</v>
      </c>
      <c r="S261" s="38" t="s">
        <v>2031</v>
      </c>
      <c r="T261" s="26">
        <v>100</v>
      </c>
    </row>
    <row r="262" spans="1:20" s="14" customFormat="1" ht="76.5">
      <c r="A262" s="17"/>
      <c r="B262" s="6">
        <v>246</v>
      </c>
      <c r="C262" s="16" t="s">
        <v>714</v>
      </c>
      <c r="D262" s="37" t="s">
        <v>715</v>
      </c>
      <c r="E262" s="6" t="s">
        <v>958</v>
      </c>
      <c r="F262" s="70" t="s">
        <v>1007</v>
      </c>
      <c r="G262" s="70" t="s">
        <v>370</v>
      </c>
      <c r="H262" s="70" t="s">
        <v>2179</v>
      </c>
      <c r="I262" s="70" t="s">
        <v>959</v>
      </c>
      <c r="J262" s="70" t="s">
        <v>1007</v>
      </c>
      <c r="K262" s="70" t="s">
        <v>370</v>
      </c>
      <c r="L262" s="70" t="s">
        <v>595</v>
      </c>
      <c r="M262" s="38" t="s">
        <v>648</v>
      </c>
      <c r="N262" s="26">
        <v>2</v>
      </c>
      <c r="O262" s="57">
        <v>313</v>
      </c>
      <c r="P262" s="62">
        <f t="shared" si="3"/>
        <v>626</v>
      </c>
      <c r="Q262" s="6" t="s">
        <v>397</v>
      </c>
      <c r="R262" s="6" t="s">
        <v>1029</v>
      </c>
      <c r="S262" s="38" t="s">
        <v>2031</v>
      </c>
      <c r="T262" s="26">
        <v>100</v>
      </c>
    </row>
    <row r="263" spans="1:20" s="14" customFormat="1" ht="102">
      <c r="A263" s="17"/>
      <c r="B263" s="6">
        <v>247</v>
      </c>
      <c r="C263" s="36" t="s">
        <v>714</v>
      </c>
      <c r="D263" s="37" t="s">
        <v>715</v>
      </c>
      <c r="E263" s="6" t="s">
        <v>640</v>
      </c>
      <c r="F263" s="70" t="s">
        <v>819</v>
      </c>
      <c r="G263" s="70" t="s">
        <v>371</v>
      </c>
      <c r="H263" s="70" t="s">
        <v>820</v>
      </c>
      <c r="I263" s="70" t="s">
        <v>641</v>
      </c>
      <c r="J263" s="70" t="s">
        <v>819</v>
      </c>
      <c r="K263" s="70" t="s">
        <v>371</v>
      </c>
      <c r="L263" s="70" t="s">
        <v>595</v>
      </c>
      <c r="M263" s="38" t="s">
        <v>648</v>
      </c>
      <c r="N263" s="26">
        <v>1</v>
      </c>
      <c r="O263" s="57">
        <v>14286</v>
      </c>
      <c r="P263" s="62">
        <f t="shared" si="3"/>
        <v>14286</v>
      </c>
      <c r="Q263" s="6" t="s">
        <v>397</v>
      </c>
      <c r="R263" s="6" t="s">
        <v>1029</v>
      </c>
      <c r="S263" s="38" t="s">
        <v>2031</v>
      </c>
      <c r="T263" s="26">
        <v>100</v>
      </c>
    </row>
    <row r="264" spans="1:20" s="14" customFormat="1" ht="25.5">
      <c r="A264" s="17"/>
      <c r="B264" s="6">
        <v>248</v>
      </c>
      <c r="C264" s="36" t="s">
        <v>714</v>
      </c>
      <c r="D264" s="37" t="s">
        <v>715</v>
      </c>
      <c r="E264" s="6" t="s">
        <v>643</v>
      </c>
      <c r="F264" s="70" t="s">
        <v>2180</v>
      </c>
      <c r="G264" s="70" t="s">
        <v>372</v>
      </c>
      <c r="H264" s="70" t="s">
        <v>821</v>
      </c>
      <c r="I264" s="70" t="s">
        <v>644</v>
      </c>
      <c r="J264" s="70" t="s">
        <v>2180</v>
      </c>
      <c r="K264" s="70" t="s">
        <v>372</v>
      </c>
      <c r="L264" s="70" t="s">
        <v>595</v>
      </c>
      <c r="M264" s="38" t="s">
        <v>648</v>
      </c>
      <c r="N264" s="26">
        <v>1</v>
      </c>
      <c r="O264" s="57">
        <v>1786</v>
      </c>
      <c r="P264" s="62">
        <f t="shared" si="3"/>
        <v>1786</v>
      </c>
      <c r="Q264" s="6" t="s">
        <v>397</v>
      </c>
      <c r="R264" s="6" t="s">
        <v>1029</v>
      </c>
      <c r="S264" s="38" t="s">
        <v>2031</v>
      </c>
      <c r="T264" s="26">
        <v>100</v>
      </c>
    </row>
    <row r="265" spans="1:20" s="14" customFormat="1" ht="63.75">
      <c r="A265" s="17"/>
      <c r="B265" s="6">
        <v>249</v>
      </c>
      <c r="C265" s="36" t="s">
        <v>714</v>
      </c>
      <c r="D265" s="37" t="s">
        <v>715</v>
      </c>
      <c r="E265" s="6" t="s">
        <v>1008</v>
      </c>
      <c r="F265" s="70" t="s">
        <v>192</v>
      </c>
      <c r="G265" s="70" t="s">
        <v>192</v>
      </c>
      <c r="H265" s="70" t="s">
        <v>2230</v>
      </c>
      <c r="I265" s="70" t="s">
        <v>1009</v>
      </c>
      <c r="J265" s="70" t="s">
        <v>822</v>
      </c>
      <c r="K265" s="70" t="s">
        <v>373</v>
      </c>
      <c r="L265" s="70" t="s">
        <v>595</v>
      </c>
      <c r="M265" s="6" t="s">
        <v>673</v>
      </c>
      <c r="N265" s="26">
        <v>5</v>
      </c>
      <c r="O265" s="57">
        <v>156</v>
      </c>
      <c r="P265" s="62">
        <f t="shared" si="3"/>
        <v>780</v>
      </c>
      <c r="Q265" s="6" t="s">
        <v>397</v>
      </c>
      <c r="R265" s="6" t="s">
        <v>1029</v>
      </c>
      <c r="S265" s="38" t="s">
        <v>2031</v>
      </c>
      <c r="T265" s="26">
        <v>100</v>
      </c>
    </row>
    <row r="266" spans="1:20" s="14" customFormat="1" ht="114.75">
      <c r="A266" s="17"/>
      <c r="B266" s="6">
        <v>250</v>
      </c>
      <c r="C266" s="16" t="s">
        <v>714</v>
      </c>
      <c r="D266" s="37" t="s">
        <v>715</v>
      </c>
      <c r="E266" s="6" t="s">
        <v>1083</v>
      </c>
      <c r="F266" s="70" t="s">
        <v>374</v>
      </c>
      <c r="G266" s="70" t="s">
        <v>374</v>
      </c>
      <c r="H266" s="70" t="s">
        <v>1629</v>
      </c>
      <c r="I266" s="70" t="s">
        <v>1084</v>
      </c>
      <c r="J266" s="70" t="s">
        <v>193</v>
      </c>
      <c r="K266" s="70" t="s">
        <v>374</v>
      </c>
      <c r="L266" s="70" t="s">
        <v>595</v>
      </c>
      <c r="M266" s="6" t="s">
        <v>655</v>
      </c>
      <c r="N266" s="26">
        <v>50</v>
      </c>
      <c r="O266" s="57">
        <v>179</v>
      </c>
      <c r="P266" s="62">
        <f t="shared" si="3"/>
        <v>8950</v>
      </c>
      <c r="Q266" s="6" t="s">
        <v>519</v>
      </c>
      <c r="R266" s="6" t="s">
        <v>1029</v>
      </c>
      <c r="S266" s="38" t="s">
        <v>2031</v>
      </c>
      <c r="T266" s="26">
        <v>100</v>
      </c>
    </row>
    <row r="267" spans="1:20" s="14" customFormat="1" ht="89.25">
      <c r="A267" s="17"/>
      <c r="B267" s="6">
        <v>251</v>
      </c>
      <c r="C267" s="36" t="s">
        <v>714</v>
      </c>
      <c r="D267" s="37" t="s">
        <v>715</v>
      </c>
      <c r="E267" s="6" t="s">
        <v>649</v>
      </c>
      <c r="F267" s="70" t="s">
        <v>824</v>
      </c>
      <c r="G267" s="70" t="s">
        <v>10</v>
      </c>
      <c r="H267" s="70" t="s">
        <v>825</v>
      </c>
      <c r="I267" s="70" t="s">
        <v>650</v>
      </c>
      <c r="J267" s="70" t="s">
        <v>824</v>
      </c>
      <c r="K267" s="70" t="s">
        <v>10</v>
      </c>
      <c r="L267" s="70" t="s">
        <v>595</v>
      </c>
      <c r="M267" s="38" t="s">
        <v>648</v>
      </c>
      <c r="N267" s="26">
        <v>2</v>
      </c>
      <c r="O267" s="57">
        <v>1339</v>
      </c>
      <c r="P267" s="62">
        <f t="shared" si="3"/>
        <v>2678</v>
      </c>
      <c r="Q267" s="6" t="s">
        <v>519</v>
      </c>
      <c r="R267" s="6" t="s">
        <v>1029</v>
      </c>
      <c r="S267" s="38" t="s">
        <v>2031</v>
      </c>
      <c r="T267" s="26">
        <v>100</v>
      </c>
    </row>
    <row r="268" spans="1:20" s="14" customFormat="1" ht="25.5">
      <c r="A268" s="17"/>
      <c r="B268" s="6">
        <v>252</v>
      </c>
      <c r="C268" s="16" t="s">
        <v>714</v>
      </c>
      <c r="D268" s="37" t="s">
        <v>715</v>
      </c>
      <c r="E268" s="6" t="s">
        <v>401</v>
      </c>
      <c r="F268" s="70" t="s">
        <v>2185</v>
      </c>
      <c r="G268" s="70" t="s">
        <v>199</v>
      </c>
      <c r="H268" s="70" t="s">
        <v>2235</v>
      </c>
      <c r="I268" s="70" t="s">
        <v>402</v>
      </c>
      <c r="J268" s="70" t="s">
        <v>2185</v>
      </c>
      <c r="K268" s="70" t="s">
        <v>199</v>
      </c>
      <c r="L268" s="70" t="s">
        <v>595</v>
      </c>
      <c r="M268" s="38" t="s">
        <v>648</v>
      </c>
      <c r="N268" s="26">
        <v>4</v>
      </c>
      <c r="O268" s="57">
        <v>2232</v>
      </c>
      <c r="P268" s="62">
        <f t="shared" si="3"/>
        <v>8928</v>
      </c>
      <c r="Q268" s="6" t="s">
        <v>397</v>
      </c>
      <c r="R268" s="6" t="s">
        <v>1029</v>
      </c>
      <c r="S268" s="38" t="s">
        <v>2031</v>
      </c>
      <c r="T268" s="26">
        <v>100</v>
      </c>
    </row>
    <row r="269" spans="1:20" s="14" customFormat="1" ht="38.25">
      <c r="A269" s="17"/>
      <c r="B269" s="6">
        <v>253</v>
      </c>
      <c r="C269" s="16" t="s">
        <v>714</v>
      </c>
      <c r="D269" s="37" t="s">
        <v>715</v>
      </c>
      <c r="E269" s="6" t="s">
        <v>653</v>
      </c>
      <c r="F269" s="70" t="s">
        <v>1633</v>
      </c>
      <c r="G269" s="70" t="s">
        <v>375</v>
      </c>
      <c r="H269" s="70" t="s">
        <v>1635</v>
      </c>
      <c r="I269" s="70" t="s">
        <v>654</v>
      </c>
      <c r="J269" s="70" t="s">
        <v>1633</v>
      </c>
      <c r="K269" s="70" t="s">
        <v>375</v>
      </c>
      <c r="L269" s="70" t="s">
        <v>595</v>
      </c>
      <c r="M269" s="6" t="s">
        <v>655</v>
      </c>
      <c r="N269" s="26">
        <v>2</v>
      </c>
      <c r="O269" s="57">
        <v>446</v>
      </c>
      <c r="P269" s="62">
        <f t="shared" si="3"/>
        <v>892</v>
      </c>
      <c r="Q269" s="6" t="s">
        <v>397</v>
      </c>
      <c r="R269" s="6" t="s">
        <v>1029</v>
      </c>
      <c r="S269" s="38" t="s">
        <v>2031</v>
      </c>
      <c r="T269" s="26">
        <v>100</v>
      </c>
    </row>
    <row r="270" spans="1:20" s="14" customFormat="1" ht="38.25">
      <c r="A270" s="17"/>
      <c r="B270" s="6">
        <v>254</v>
      </c>
      <c r="C270" s="36" t="s">
        <v>714</v>
      </c>
      <c r="D270" s="37" t="s">
        <v>715</v>
      </c>
      <c r="E270" s="6" t="s">
        <v>656</v>
      </c>
      <c r="F270" s="70" t="s">
        <v>1637</v>
      </c>
      <c r="G270" s="70" t="s">
        <v>657</v>
      </c>
      <c r="H270" s="70" t="s">
        <v>1638</v>
      </c>
      <c r="I270" s="70" t="s">
        <v>658</v>
      </c>
      <c r="J270" s="70" t="s">
        <v>1637</v>
      </c>
      <c r="K270" s="70" t="s">
        <v>376</v>
      </c>
      <c r="L270" s="70" t="s">
        <v>595</v>
      </c>
      <c r="M270" s="38" t="s">
        <v>648</v>
      </c>
      <c r="N270" s="26">
        <v>50</v>
      </c>
      <c r="O270" s="57">
        <v>179</v>
      </c>
      <c r="P270" s="62">
        <f t="shared" si="3"/>
        <v>8950</v>
      </c>
      <c r="Q270" s="6" t="s">
        <v>397</v>
      </c>
      <c r="R270" s="6" t="s">
        <v>1029</v>
      </c>
      <c r="S270" s="38" t="s">
        <v>2031</v>
      </c>
      <c r="T270" s="26">
        <v>100</v>
      </c>
    </row>
    <row r="271" spans="1:20" s="14" customFormat="1" ht="25.5">
      <c r="A271" s="17"/>
      <c r="B271" s="6">
        <v>255</v>
      </c>
      <c r="C271" s="16" t="s">
        <v>714</v>
      </c>
      <c r="D271" s="37" t="s">
        <v>715</v>
      </c>
      <c r="E271" s="6" t="s">
        <v>833</v>
      </c>
      <c r="F271" s="70" t="s">
        <v>11</v>
      </c>
      <c r="G271" s="70" t="s">
        <v>11</v>
      </c>
      <c r="H271" s="70" t="s">
        <v>834</v>
      </c>
      <c r="I271" s="70" t="s">
        <v>834</v>
      </c>
      <c r="J271" s="70" t="s">
        <v>11</v>
      </c>
      <c r="K271" s="70" t="s">
        <v>11</v>
      </c>
      <c r="L271" s="70" t="s">
        <v>595</v>
      </c>
      <c r="M271" s="6" t="s">
        <v>1486</v>
      </c>
      <c r="N271" s="26">
        <v>25</v>
      </c>
      <c r="O271" s="57">
        <v>313</v>
      </c>
      <c r="P271" s="62">
        <f t="shared" si="3"/>
        <v>7825</v>
      </c>
      <c r="Q271" s="6" t="s">
        <v>397</v>
      </c>
      <c r="R271" s="6" t="s">
        <v>1029</v>
      </c>
      <c r="S271" s="38" t="s">
        <v>2031</v>
      </c>
      <c r="T271" s="26">
        <v>100</v>
      </c>
    </row>
    <row r="272" spans="1:20" s="14" customFormat="1" ht="25.5">
      <c r="A272" s="17"/>
      <c r="B272" s="6">
        <v>256</v>
      </c>
      <c r="C272" s="36" t="s">
        <v>714</v>
      </c>
      <c r="D272" s="37" t="s">
        <v>715</v>
      </c>
      <c r="E272" s="6" t="s">
        <v>898</v>
      </c>
      <c r="F272" s="70" t="s">
        <v>771</v>
      </c>
      <c r="G272" s="70" t="s">
        <v>18</v>
      </c>
      <c r="H272" s="70" t="s">
        <v>2188</v>
      </c>
      <c r="I272" s="70" t="s">
        <v>674</v>
      </c>
      <c r="J272" s="70" t="s">
        <v>771</v>
      </c>
      <c r="K272" s="70" t="s">
        <v>18</v>
      </c>
      <c r="L272" s="70" t="s">
        <v>595</v>
      </c>
      <c r="M272" s="6" t="s">
        <v>484</v>
      </c>
      <c r="N272" s="26">
        <v>2</v>
      </c>
      <c r="O272" s="57">
        <v>714</v>
      </c>
      <c r="P272" s="62">
        <f t="shared" si="3"/>
        <v>1428</v>
      </c>
      <c r="Q272" s="6" t="s">
        <v>397</v>
      </c>
      <c r="R272" s="6" t="s">
        <v>1029</v>
      </c>
      <c r="S272" s="38" t="s">
        <v>2031</v>
      </c>
      <c r="T272" s="26">
        <v>100</v>
      </c>
    </row>
    <row r="273" spans="1:20" s="14" customFormat="1" ht="51">
      <c r="A273" s="17"/>
      <c r="B273" s="6">
        <v>257</v>
      </c>
      <c r="C273" s="36" t="s">
        <v>714</v>
      </c>
      <c r="D273" s="37" t="s">
        <v>715</v>
      </c>
      <c r="E273" s="6" t="s">
        <v>2398</v>
      </c>
      <c r="F273" s="70" t="s">
        <v>378</v>
      </c>
      <c r="G273" s="70" t="s">
        <v>378</v>
      </c>
      <c r="H273" s="70" t="s">
        <v>2295</v>
      </c>
      <c r="I273" s="70" t="s">
        <v>835</v>
      </c>
      <c r="J273" s="70" t="s">
        <v>378</v>
      </c>
      <c r="K273" s="70" t="s">
        <v>198</v>
      </c>
      <c r="L273" s="70" t="s">
        <v>595</v>
      </c>
      <c r="M273" s="38" t="s">
        <v>648</v>
      </c>
      <c r="N273" s="26">
        <v>25</v>
      </c>
      <c r="O273" s="57">
        <v>67</v>
      </c>
      <c r="P273" s="62">
        <f t="shared" ref="P273:P336" si="4">N273*O273</f>
        <v>1675</v>
      </c>
      <c r="Q273" s="6" t="s">
        <v>397</v>
      </c>
      <c r="R273" s="6" t="s">
        <v>770</v>
      </c>
      <c r="S273" s="38" t="s">
        <v>2031</v>
      </c>
      <c r="T273" s="26">
        <v>100</v>
      </c>
    </row>
    <row r="274" spans="1:20" s="14" customFormat="1" ht="38.25">
      <c r="A274" s="17"/>
      <c r="B274" s="6">
        <v>258</v>
      </c>
      <c r="C274" s="36" t="s">
        <v>714</v>
      </c>
      <c r="D274" s="37" t="s">
        <v>715</v>
      </c>
      <c r="E274" s="6" t="s">
        <v>664</v>
      </c>
      <c r="F274" s="70" t="s">
        <v>836</v>
      </c>
      <c r="G274" s="70" t="s">
        <v>12</v>
      </c>
      <c r="H274" s="70" t="s">
        <v>1645</v>
      </c>
      <c r="I274" s="70" t="s">
        <v>665</v>
      </c>
      <c r="J274" s="70" t="s">
        <v>836</v>
      </c>
      <c r="K274" s="70" t="s">
        <v>12</v>
      </c>
      <c r="L274" s="70" t="s">
        <v>595</v>
      </c>
      <c r="M274" s="38" t="s">
        <v>648</v>
      </c>
      <c r="N274" s="26">
        <v>5</v>
      </c>
      <c r="O274" s="57">
        <v>1339</v>
      </c>
      <c r="P274" s="62">
        <f t="shared" si="4"/>
        <v>6695</v>
      </c>
      <c r="Q274" s="6" t="s">
        <v>397</v>
      </c>
      <c r="R274" s="6" t="s">
        <v>1029</v>
      </c>
      <c r="S274" s="38" t="s">
        <v>2031</v>
      </c>
      <c r="T274" s="26">
        <v>100</v>
      </c>
    </row>
    <row r="275" spans="1:20" s="14" customFormat="1" ht="51">
      <c r="A275" s="17"/>
      <c r="B275" s="6">
        <v>259</v>
      </c>
      <c r="C275" s="36" t="s">
        <v>714</v>
      </c>
      <c r="D275" s="37" t="s">
        <v>715</v>
      </c>
      <c r="E275" s="6" t="s">
        <v>414</v>
      </c>
      <c r="F275" s="70" t="s">
        <v>837</v>
      </c>
      <c r="G275" s="70" t="s">
        <v>379</v>
      </c>
      <c r="H275" s="70" t="s">
        <v>2281</v>
      </c>
      <c r="I275" s="70" t="s">
        <v>415</v>
      </c>
      <c r="J275" s="70" t="s">
        <v>2281</v>
      </c>
      <c r="K275" s="70" t="s">
        <v>379</v>
      </c>
      <c r="L275" s="70" t="s">
        <v>595</v>
      </c>
      <c r="M275" s="38" t="s">
        <v>648</v>
      </c>
      <c r="N275" s="26">
        <v>5</v>
      </c>
      <c r="O275" s="57">
        <v>1071</v>
      </c>
      <c r="P275" s="62">
        <f t="shared" si="4"/>
        <v>5355</v>
      </c>
      <c r="Q275" s="6" t="s">
        <v>397</v>
      </c>
      <c r="R275" s="6" t="s">
        <v>770</v>
      </c>
      <c r="S275" s="38" t="s">
        <v>2031</v>
      </c>
      <c r="T275" s="26">
        <v>100</v>
      </c>
    </row>
    <row r="276" spans="1:20" s="14" customFormat="1" ht="63.75">
      <c r="A276" s="17"/>
      <c r="B276" s="6">
        <v>260</v>
      </c>
      <c r="C276" s="36" t="s">
        <v>714</v>
      </c>
      <c r="D276" s="37" t="s">
        <v>715</v>
      </c>
      <c r="E276" s="6" t="s">
        <v>666</v>
      </c>
      <c r="F276" s="70" t="s">
        <v>2245</v>
      </c>
      <c r="G276" s="70" t="s">
        <v>667</v>
      </c>
      <c r="H276" s="70" t="s">
        <v>2246</v>
      </c>
      <c r="I276" s="70" t="s">
        <v>2248</v>
      </c>
      <c r="J276" s="70" t="s">
        <v>2247</v>
      </c>
      <c r="K276" s="70" t="s">
        <v>380</v>
      </c>
      <c r="L276" s="70" t="s">
        <v>595</v>
      </c>
      <c r="M276" s="6" t="s">
        <v>1487</v>
      </c>
      <c r="N276" s="26">
        <v>1</v>
      </c>
      <c r="O276" s="57">
        <v>26786</v>
      </c>
      <c r="P276" s="62">
        <f t="shared" si="4"/>
        <v>26786</v>
      </c>
      <c r="Q276" s="6" t="s">
        <v>397</v>
      </c>
      <c r="R276" s="6" t="s">
        <v>1055</v>
      </c>
      <c r="S276" s="38" t="s">
        <v>2031</v>
      </c>
      <c r="T276" s="26">
        <v>100</v>
      </c>
    </row>
    <row r="277" spans="1:20" s="14" customFormat="1" ht="38.25">
      <c r="A277" s="17"/>
      <c r="B277" s="6">
        <v>261</v>
      </c>
      <c r="C277" s="36" t="s">
        <v>714</v>
      </c>
      <c r="D277" s="37" t="s">
        <v>715</v>
      </c>
      <c r="E277" s="6" t="s">
        <v>416</v>
      </c>
      <c r="F277" s="70" t="s">
        <v>839</v>
      </c>
      <c r="G277" s="70" t="s">
        <v>381</v>
      </c>
      <c r="H277" s="70" t="s">
        <v>840</v>
      </c>
      <c r="I277" s="70" t="s">
        <v>417</v>
      </c>
      <c r="J277" s="70" t="s">
        <v>2305</v>
      </c>
      <c r="K277" s="70" t="s">
        <v>381</v>
      </c>
      <c r="L277" s="70" t="s">
        <v>595</v>
      </c>
      <c r="M277" s="38" t="s">
        <v>648</v>
      </c>
      <c r="N277" s="26">
        <v>1</v>
      </c>
      <c r="O277" s="57">
        <v>26786</v>
      </c>
      <c r="P277" s="62">
        <f t="shared" si="4"/>
        <v>26786</v>
      </c>
      <c r="Q277" s="6" t="s">
        <v>395</v>
      </c>
      <c r="R277" s="6" t="s">
        <v>395</v>
      </c>
      <c r="S277" s="38" t="s">
        <v>2031</v>
      </c>
      <c r="T277" s="26">
        <v>100</v>
      </c>
    </row>
    <row r="278" spans="1:20" s="14" customFormat="1" ht="51">
      <c r="A278" s="17"/>
      <c r="B278" s="6">
        <v>262</v>
      </c>
      <c r="C278" s="36" t="s">
        <v>714</v>
      </c>
      <c r="D278" s="37" t="s">
        <v>715</v>
      </c>
      <c r="E278" s="6" t="s">
        <v>416</v>
      </c>
      <c r="F278" s="70" t="s">
        <v>839</v>
      </c>
      <c r="G278" s="70" t="s">
        <v>381</v>
      </c>
      <c r="H278" s="70" t="s">
        <v>840</v>
      </c>
      <c r="I278" s="70" t="s">
        <v>417</v>
      </c>
      <c r="J278" s="70" t="s">
        <v>2301</v>
      </c>
      <c r="K278" s="70" t="s">
        <v>382</v>
      </c>
      <c r="L278" s="70" t="s">
        <v>595</v>
      </c>
      <c r="M278" s="38" t="s">
        <v>648</v>
      </c>
      <c r="N278" s="26">
        <v>1</v>
      </c>
      <c r="O278" s="57">
        <v>16071</v>
      </c>
      <c r="P278" s="62">
        <f t="shared" si="4"/>
        <v>16071</v>
      </c>
      <c r="Q278" s="6" t="s">
        <v>397</v>
      </c>
      <c r="R278" s="6" t="s">
        <v>770</v>
      </c>
      <c r="S278" s="38" t="s">
        <v>2031</v>
      </c>
      <c r="T278" s="26">
        <v>100</v>
      </c>
    </row>
    <row r="279" spans="1:20" s="14" customFormat="1" ht="127.5">
      <c r="A279" s="17"/>
      <c r="B279" s="6">
        <v>263</v>
      </c>
      <c r="C279" s="36" t="s">
        <v>714</v>
      </c>
      <c r="D279" s="37" t="s">
        <v>715</v>
      </c>
      <c r="E279" s="6" t="s">
        <v>418</v>
      </c>
      <c r="F279" s="70" t="s">
        <v>2192</v>
      </c>
      <c r="G279" s="70" t="s">
        <v>13</v>
      </c>
      <c r="H279" s="70" t="s">
        <v>2194</v>
      </c>
      <c r="I279" s="70" t="s">
        <v>419</v>
      </c>
      <c r="J279" s="70" t="s">
        <v>2192</v>
      </c>
      <c r="K279" s="70" t="s">
        <v>13</v>
      </c>
      <c r="L279" s="70" t="s">
        <v>595</v>
      </c>
      <c r="M279" s="38" t="s">
        <v>648</v>
      </c>
      <c r="N279" s="26">
        <v>3</v>
      </c>
      <c r="O279" s="57">
        <v>2679</v>
      </c>
      <c r="P279" s="62">
        <f t="shared" si="4"/>
        <v>8037</v>
      </c>
      <c r="Q279" s="6" t="s">
        <v>397</v>
      </c>
      <c r="R279" s="6" t="s">
        <v>1029</v>
      </c>
      <c r="S279" s="38" t="s">
        <v>2031</v>
      </c>
      <c r="T279" s="26">
        <v>100</v>
      </c>
    </row>
    <row r="280" spans="1:20" s="14" customFormat="1" ht="25.5">
      <c r="A280" s="17"/>
      <c r="B280" s="6">
        <v>264</v>
      </c>
      <c r="C280" s="36" t="s">
        <v>714</v>
      </c>
      <c r="D280" s="37" t="s">
        <v>715</v>
      </c>
      <c r="E280" s="6" t="s">
        <v>420</v>
      </c>
      <c r="F280" s="70" t="s">
        <v>2232</v>
      </c>
      <c r="G280" s="70" t="s">
        <v>421</v>
      </c>
      <c r="H280" s="70" t="s">
        <v>2233</v>
      </c>
      <c r="I280" s="70" t="s">
        <v>422</v>
      </c>
      <c r="J280" s="70" t="s">
        <v>2232</v>
      </c>
      <c r="K280" s="70" t="s">
        <v>383</v>
      </c>
      <c r="L280" s="70" t="s">
        <v>595</v>
      </c>
      <c r="M280" s="38" t="s">
        <v>648</v>
      </c>
      <c r="N280" s="26">
        <v>1</v>
      </c>
      <c r="O280" s="57">
        <v>16071</v>
      </c>
      <c r="P280" s="62">
        <f t="shared" si="4"/>
        <v>16071</v>
      </c>
      <c r="Q280" s="6" t="s">
        <v>395</v>
      </c>
      <c r="R280" s="6" t="s">
        <v>395</v>
      </c>
      <c r="S280" s="38" t="s">
        <v>2031</v>
      </c>
      <c r="T280" s="26">
        <v>100</v>
      </c>
    </row>
    <row r="281" spans="1:20" s="14" customFormat="1" ht="51">
      <c r="A281" s="17"/>
      <c r="B281" s="6">
        <v>265</v>
      </c>
      <c r="C281" s="16" t="s">
        <v>714</v>
      </c>
      <c r="D281" s="37" t="s">
        <v>715</v>
      </c>
      <c r="E281" s="6" t="s">
        <v>1010</v>
      </c>
      <c r="F281" s="70" t="s">
        <v>2086</v>
      </c>
      <c r="G281" s="70" t="s">
        <v>1011</v>
      </c>
      <c r="H281" s="70" t="s">
        <v>2087</v>
      </c>
      <c r="I281" s="70" t="s">
        <v>1012</v>
      </c>
      <c r="J281" s="70" t="s">
        <v>2086</v>
      </c>
      <c r="K281" s="70" t="s">
        <v>384</v>
      </c>
      <c r="L281" s="70" t="s">
        <v>595</v>
      </c>
      <c r="M281" s="38" t="s">
        <v>648</v>
      </c>
      <c r="N281" s="26">
        <v>1</v>
      </c>
      <c r="O281" s="57">
        <v>1786</v>
      </c>
      <c r="P281" s="62">
        <f t="shared" si="4"/>
        <v>1786</v>
      </c>
      <c r="Q281" s="6" t="s">
        <v>397</v>
      </c>
      <c r="R281" s="6" t="s">
        <v>1029</v>
      </c>
      <c r="S281" s="38" t="s">
        <v>2031</v>
      </c>
      <c r="T281" s="26">
        <v>100</v>
      </c>
    </row>
    <row r="282" spans="1:20" ht="63.75">
      <c r="B282" s="6">
        <v>266</v>
      </c>
      <c r="C282" s="36" t="s">
        <v>714</v>
      </c>
      <c r="D282" s="37" t="s">
        <v>715</v>
      </c>
      <c r="E282" s="6" t="s">
        <v>807</v>
      </c>
      <c r="F282" s="70" t="s">
        <v>808</v>
      </c>
      <c r="G282" s="70" t="s">
        <v>368</v>
      </c>
      <c r="H282" s="70" t="s">
        <v>809</v>
      </c>
      <c r="I282" s="70" t="s">
        <v>810</v>
      </c>
      <c r="J282" s="70" t="s">
        <v>808</v>
      </c>
      <c r="K282" s="70" t="s">
        <v>368</v>
      </c>
      <c r="L282" s="70" t="s">
        <v>595</v>
      </c>
      <c r="M282" s="38" t="s">
        <v>648</v>
      </c>
      <c r="N282" s="26">
        <v>5</v>
      </c>
      <c r="O282" s="57">
        <v>313</v>
      </c>
      <c r="P282" s="62">
        <f t="shared" si="4"/>
        <v>1565</v>
      </c>
      <c r="Q282" s="6" t="s">
        <v>616</v>
      </c>
      <c r="R282" s="6" t="s">
        <v>1055</v>
      </c>
      <c r="S282" s="38" t="s">
        <v>637</v>
      </c>
      <c r="T282" s="26">
        <v>30</v>
      </c>
    </row>
    <row r="283" spans="1:20" ht="63.75">
      <c r="B283" s="6">
        <v>267</v>
      </c>
      <c r="C283" s="16" t="s">
        <v>714</v>
      </c>
      <c r="D283" s="37" t="s">
        <v>715</v>
      </c>
      <c r="E283" s="12" t="s">
        <v>811</v>
      </c>
      <c r="F283" s="70" t="s">
        <v>1602</v>
      </c>
      <c r="G283" s="70" t="s">
        <v>2387</v>
      </c>
      <c r="H283" s="70" t="s">
        <v>1603</v>
      </c>
      <c r="I283" s="70" t="s">
        <v>812</v>
      </c>
      <c r="J283" s="70" t="s">
        <v>1604</v>
      </c>
      <c r="K283" s="70" t="s">
        <v>5</v>
      </c>
      <c r="L283" s="70" t="s">
        <v>595</v>
      </c>
      <c r="M283" s="38" t="s">
        <v>648</v>
      </c>
      <c r="N283" s="26">
        <v>2</v>
      </c>
      <c r="O283" s="57">
        <v>714</v>
      </c>
      <c r="P283" s="62">
        <f t="shared" si="4"/>
        <v>1428</v>
      </c>
      <c r="Q283" s="6" t="s">
        <v>616</v>
      </c>
      <c r="R283" s="6" t="s">
        <v>1055</v>
      </c>
      <c r="S283" s="38" t="s">
        <v>637</v>
      </c>
      <c r="T283" s="26">
        <v>30</v>
      </c>
    </row>
    <row r="284" spans="1:20" ht="63.75">
      <c r="B284" s="6">
        <v>268</v>
      </c>
      <c r="C284" s="36" t="s">
        <v>714</v>
      </c>
      <c r="D284" s="37" t="s">
        <v>715</v>
      </c>
      <c r="E284" s="12" t="s">
        <v>956</v>
      </c>
      <c r="F284" s="70" t="s">
        <v>2178</v>
      </c>
      <c r="G284" s="70" t="s">
        <v>957</v>
      </c>
      <c r="H284" s="70" t="s">
        <v>2178</v>
      </c>
      <c r="I284" s="70" t="s">
        <v>957</v>
      </c>
      <c r="J284" s="70" t="s">
        <v>6</v>
      </c>
      <c r="K284" s="70" t="s">
        <v>6</v>
      </c>
      <c r="L284" s="70" t="s">
        <v>595</v>
      </c>
      <c r="M284" s="38" t="s">
        <v>648</v>
      </c>
      <c r="N284" s="26">
        <v>4</v>
      </c>
      <c r="O284" s="57">
        <v>3125</v>
      </c>
      <c r="P284" s="62">
        <f t="shared" si="4"/>
        <v>12500</v>
      </c>
      <c r="Q284" s="6" t="s">
        <v>616</v>
      </c>
      <c r="R284" s="6" t="s">
        <v>1055</v>
      </c>
      <c r="S284" s="38" t="s">
        <v>637</v>
      </c>
      <c r="T284" s="26">
        <v>30</v>
      </c>
    </row>
    <row r="285" spans="1:20" ht="63.75">
      <c r="B285" s="6">
        <v>269</v>
      </c>
      <c r="C285" s="36" t="s">
        <v>714</v>
      </c>
      <c r="D285" s="37" t="s">
        <v>715</v>
      </c>
      <c r="E285" s="6" t="s">
        <v>638</v>
      </c>
      <c r="F285" s="70" t="s">
        <v>817</v>
      </c>
      <c r="G285" s="70" t="s">
        <v>369</v>
      </c>
      <c r="H285" s="70" t="s">
        <v>818</v>
      </c>
      <c r="I285" s="70" t="s">
        <v>639</v>
      </c>
      <c r="J285" s="70" t="s">
        <v>817</v>
      </c>
      <c r="K285" s="70" t="s">
        <v>369</v>
      </c>
      <c r="L285" s="70" t="s">
        <v>595</v>
      </c>
      <c r="M285" s="38" t="s">
        <v>648</v>
      </c>
      <c r="N285" s="26">
        <v>2</v>
      </c>
      <c r="O285" s="57">
        <v>223</v>
      </c>
      <c r="P285" s="62">
        <f t="shared" si="4"/>
        <v>446</v>
      </c>
      <c r="Q285" s="6" t="s">
        <v>616</v>
      </c>
      <c r="R285" s="6" t="s">
        <v>1055</v>
      </c>
      <c r="S285" s="38" t="s">
        <v>637</v>
      </c>
      <c r="T285" s="26">
        <v>30</v>
      </c>
    </row>
    <row r="286" spans="1:20" ht="76.5">
      <c r="B286" s="6">
        <v>270</v>
      </c>
      <c r="C286" s="16" t="s">
        <v>714</v>
      </c>
      <c r="D286" s="37" t="s">
        <v>715</v>
      </c>
      <c r="E286" s="6" t="s">
        <v>958</v>
      </c>
      <c r="F286" s="70" t="s">
        <v>1007</v>
      </c>
      <c r="G286" s="70" t="s">
        <v>370</v>
      </c>
      <c r="H286" s="70" t="s">
        <v>2179</v>
      </c>
      <c r="I286" s="70" t="s">
        <v>959</v>
      </c>
      <c r="J286" s="70" t="s">
        <v>1007</v>
      </c>
      <c r="K286" s="70" t="s">
        <v>370</v>
      </c>
      <c r="L286" s="70" t="s">
        <v>595</v>
      </c>
      <c r="M286" s="38" t="s">
        <v>648</v>
      </c>
      <c r="N286" s="26">
        <v>2</v>
      </c>
      <c r="O286" s="57">
        <v>313</v>
      </c>
      <c r="P286" s="62">
        <f t="shared" si="4"/>
        <v>626</v>
      </c>
      <c r="Q286" s="6" t="s">
        <v>616</v>
      </c>
      <c r="R286" s="6" t="s">
        <v>1055</v>
      </c>
      <c r="S286" s="38" t="s">
        <v>637</v>
      </c>
      <c r="T286" s="26">
        <v>30</v>
      </c>
    </row>
    <row r="287" spans="1:20" ht="102">
      <c r="B287" s="6">
        <v>271</v>
      </c>
      <c r="C287" s="36" t="s">
        <v>714</v>
      </c>
      <c r="D287" s="37" t="s">
        <v>715</v>
      </c>
      <c r="E287" s="6" t="s">
        <v>640</v>
      </c>
      <c r="F287" s="70" t="s">
        <v>819</v>
      </c>
      <c r="G287" s="70" t="s">
        <v>371</v>
      </c>
      <c r="H287" s="70" t="s">
        <v>820</v>
      </c>
      <c r="I287" s="70" t="s">
        <v>641</v>
      </c>
      <c r="J287" s="70" t="s">
        <v>819</v>
      </c>
      <c r="K287" s="70" t="s">
        <v>371</v>
      </c>
      <c r="L287" s="70" t="s">
        <v>595</v>
      </c>
      <c r="M287" s="38" t="s">
        <v>648</v>
      </c>
      <c r="N287" s="26">
        <v>1</v>
      </c>
      <c r="O287" s="57">
        <v>14286</v>
      </c>
      <c r="P287" s="62">
        <f t="shared" si="4"/>
        <v>14286</v>
      </c>
      <c r="Q287" s="6" t="s">
        <v>616</v>
      </c>
      <c r="R287" s="6" t="s">
        <v>1055</v>
      </c>
      <c r="S287" s="38" t="s">
        <v>637</v>
      </c>
      <c r="T287" s="26">
        <v>30</v>
      </c>
    </row>
    <row r="288" spans="1:20" ht="63.75">
      <c r="B288" s="6">
        <v>272</v>
      </c>
      <c r="C288" s="36" t="s">
        <v>714</v>
      </c>
      <c r="D288" s="37" t="s">
        <v>715</v>
      </c>
      <c r="E288" s="6" t="s">
        <v>643</v>
      </c>
      <c r="F288" s="70" t="s">
        <v>2180</v>
      </c>
      <c r="G288" s="70" t="s">
        <v>372</v>
      </c>
      <c r="H288" s="70" t="s">
        <v>821</v>
      </c>
      <c r="I288" s="70" t="s">
        <v>644</v>
      </c>
      <c r="J288" s="70" t="s">
        <v>2180</v>
      </c>
      <c r="K288" s="70" t="s">
        <v>372</v>
      </c>
      <c r="L288" s="70" t="s">
        <v>595</v>
      </c>
      <c r="M288" s="38" t="s">
        <v>648</v>
      </c>
      <c r="N288" s="26">
        <v>1</v>
      </c>
      <c r="O288" s="57">
        <v>1786</v>
      </c>
      <c r="P288" s="62">
        <f t="shared" si="4"/>
        <v>1786</v>
      </c>
      <c r="Q288" s="6" t="s">
        <v>616</v>
      </c>
      <c r="R288" s="6" t="s">
        <v>1055</v>
      </c>
      <c r="S288" s="38" t="s">
        <v>637</v>
      </c>
      <c r="T288" s="26">
        <v>30</v>
      </c>
    </row>
    <row r="289" spans="2:20" ht="63.75">
      <c r="B289" s="6">
        <v>273</v>
      </c>
      <c r="C289" s="36" t="s">
        <v>714</v>
      </c>
      <c r="D289" s="37" t="s">
        <v>715</v>
      </c>
      <c r="E289" s="6" t="s">
        <v>645</v>
      </c>
      <c r="F289" s="70" t="s">
        <v>2229</v>
      </c>
      <c r="G289" s="70" t="s">
        <v>646</v>
      </c>
      <c r="H289" s="70" t="s">
        <v>2231</v>
      </c>
      <c r="I289" s="70" t="s">
        <v>647</v>
      </c>
      <c r="J289" s="70" t="s">
        <v>822</v>
      </c>
      <c r="K289" s="70" t="s">
        <v>373</v>
      </c>
      <c r="L289" s="70" t="s">
        <v>595</v>
      </c>
      <c r="M289" s="6" t="s">
        <v>673</v>
      </c>
      <c r="N289" s="26">
        <v>5</v>
      </c>
      <c r="O289" s="57">
        <v>156</v>
      </c>
      <c r="P289" s="62">
        <f t="shared" si="4"/>
        <v>780</v>
      </c>
      <c r="Q289" s="6" t="s">
        <v>616</v>
      </c>
      <c r="R289" s="6" t="s">
        <v>1055</v>
      </c>
      <c r="S289" s="38" t="s">
        <v>637</v>
      </c>
      <c r="T289" s="26">
        <v>30</v>
      </c>
    </row>
    <row r="290" spans="2:20" ht="114.75">
      <c r="B290" s="6">
        <v>274</v>
      </c>
      <c r="C290" s="16" t="s">
        <v>714</v>
      </c>
      <c r="D290" s="37" t="s">
        <v>715</v>
      </c>
      <c r="E290" s="6" t="s">
        <v>1083</v>
      </c>
      <c r="F290" s="70" t="s">
        <v>374</v>
      </c>
      <c r="G290" s="70" t="s">
        <v>374</v>
      </c>
      <c r="H290" s="70" t="s">
        <v>1629</v>
      </c>
      <c r="I290" s="70" t="s">
        <v>1084</v>
      </c>
      <c r="J290" s="70" t="s">
        <v>193</v>
      </c>
      <c r="K290" s="70" t="s">
        <v>374</v>
      </c>
      <c r="L290" s="70" t="s">
        <v>595</v>
      </c>
      <c r="M290" s="6" t="s">
        <v>655</v>
      </c>
      <c r="N290" s="26">
        <v>50</v>
      </c>
      <c r="O290" s="57">
        <v>179</v>
      </c>
      <c r="P290" s="62">
        <f t="shared" si="4"/>
        <v>8950</v>
      </c>
      <c r="Q290" s="6" t="s">
        <v>616</v>
      </c>
      <c r="R290" s="6" t="s">
        <v>1055</v>
      </c>
      <c r="S290" s="38" t="s">
        <v>637</v>
      </c>
      <c r="T290" s="26">
        <v>30</v>
      </c>
    </row>
    <row r="291" spans="2:20" ht="89.25">
      <c r="B291" s="6">
        <v>275</v>
      </c>
      <c r="C291" s="36" t="s">
        <v>714</v>
      </c>
      <c r="D291" s="37" t="s">
        <v>715</v>
      </c>
      <c r="E291" s="6" t="s">
        <v>649</v>
      </c>
      <c r="F291" s="70" t="s">
        <v>824</v>
      </c>
      <c r="G291" s="70" t="s">
        <v>10</v>
      </c>
      <c r="H291" s="70" t="s">
        <v>825</v>
      </c>
      <c r="I291" s="70" t="s">
        <v>650</v>
      </c>
      <c r="J291" s="70" t="s">
        <v>824</v>
      </c>
      <c r="K291" s="70" t="s">
        <v>10</v>
      </c>
      <c r="L291" s="70" t="s">
        <v>595</v>
      </c>
      <c r="M291" s="38" t="s">
        <v>648</v>
      </c>
      <c r="N291" s="26">
        <v>2</v>
      </c>
      <c r="O291" s="57">
        <v>1339</v>
      </c>
      <c r="P291" s="62">
        <f t="shared" si="4"/>
        <v>2678</v>
      </c>
      <c r="Q291" s="6" t="s">
        <v>616</v>
      </c>
      <c r="R291" s="6" t="s">
        <v>1055</v>
      </c>
      <c r="S291" s="38" t="s">
        <v>637</v>
      </c>
      <c r="T291" s="26">
        <v>30</v>
      </c>
    </row>
    <row r="292" spans="2:20" ht="63.75">
      <c r="B292" s="6">
        <v>276</v>
      </c>
      <c r="C292" s="16" t="s">
        <v>714</v>
      </c>
      <c r="D292" s="37" t="s">
        <v>715</v>
      </c>
      <c r="E292" s="6" t="s">
        <v>651</v>
      </c>
      <c r="F292" s="70" t="s">
        <v>2185</v>
      </c>
      <c r="G292" s="70" t="s">
        <v>199</v>
      </c>
      <c r="H292" s="70" t="s">
        <v>2187</v>
      </c>
      <c r="I292" s="70" t="s">
        <v>652</v>
      </c>
      <c r="J292" s="70" t="s">
        <v>2185</v>
      </c>
      <c r="K292" s="70" t="s">
        <v>199</v>
      </c>
      <c r="L292" s="70" t="s">
        <v>595</v>
      </c>
      <c r="M292" s="38" t="s">
        <v>648</v>
      </c>
      <c r="N292" s="26">
        <v>4</v>
      </c>
      <c r="O292" s="57">
        <v>2232</v>
      </c>
      <c r="P292" s="62">
        <f t="shared" si="4"/>
        <v>8928</v>
      </c>
      <c r="Q292" s="6" t="s">
        <v>616</v>
      </c>
      <c r="R292" s="6" t="s">
        <v>1055</v>
      </c>
      <c r="S292" s="38" t="s">
        <v>637</v>
      </c>
      <c r="T292" s="26">
        <v>30</v>
      </c>
    </row>
    <row r="293" spans="2:20" ht="63.75">
      <c r="B293" s="6">
        <v>277</v>
      </c>
      <c r="C293" s="16" t="s">
        <v>714</v>
      </c>
      <c r="D293" s="37" t="s">
        <v>715</v>
      </c>
      <c r="E293" s="6" t="s">
        <v>653</v>
      </c>
      <c r="F293" s="70" t="s">
        <v>1633</v>
      </c>
      <c r="G293" s="70" t="s">
        <v>375</v>
      </c>
      <c r="H293" s="70" t="s">
        <v>1635</v>
      </c>
      <c r="I293" s="70" t="s">
        <v>654</v>
      </c>
      <c r="J293" s="70" t="s">
        <v>1633</v>
      </c>
      <c r="K293" s="70" t="s">
        <v>375</v>
      </c>
      <c r="L293" s="70" t="s">
        <v>595</v>
      </c>
      <c r="M293" s="6" t="s">
        <v>655</v>
      </c>
      <c r="N293" s="26">
        <v>2</v>
      </c>
      <c r="O293" s="57">
        <v>446</v>
      </c>
      <c r="P293" s="62">
        <f t="shared" si="4"/>
        <v>892</v>
      </c>
      <c r="Q293" s="6" t="s">
        <v>616</v>
      </c>
      <c r="R293" s="6" t="s">
        <v>1055</v>
      </c>
      <c r="S293" s="38" t="s">
        <v>637</v>
      </c>
      <c r="T293" s="26">
        <v>30</v>
      </c>
    </row>
    <row r="294" spans="2:20" ht="63.75">
      <c r="B294" s="6">
        <v>278</v>
      </c>
      <c r="C294" s="36" t="s">
        <v>714</v>
      </c>
      <c r="D294" s="37" t="s">
        <v>715</v>
      </c>
      <c r="E294" s="6" t="s">
        <v>656</v>
      </c>
      <c r="F294" s="70" t="s">
        <v>1637</v>
      </c>
      <c r="G294" s="70" t="s">
        <v>657</v>
      </c>
      <c r="H294" s="70" t="s">
        <v>1638</v>
      </c>
      <c r="I294" s="70" t="s">
        <v>658</v>
      </c>
      <c r="J294" s="70" t="s">
        <v>1637</v>
      </c>
      <c r="K294" s="70" t="s">
        <v>376</v>
      </c>
      <c r="L294" s="70" t="s">
        <v>595</v>
      </c>
      <c r="M294" s="38" t="s">
        <v>648</v>
      </c>
      <c r="N294" s="26">
        <v>50</v>
      </c>
      <c r="O294" s="57">
        <v>179</v>
      </c>
      <c r="P294" s="62">
        <f t="shared" si="4"/>
        <v>8950</v>
      </c>
      <c r="Q294" s="6" t="s">
        <v>616</v>
      </c>
      <c r="R294" s="6" t="s">
        <v>1055</v>
      </c>
      <c r="S294" s="38" t="s">
        <v>637</v>
      </c>
      <c r="T294" s="26">
        <v>30</v>
      </c>
    </row>
    <row r="295" spans="2:20" ht="63.75">
      <c r="B295" s="6">
        <v>279</v>
      </c>
      <c r="C295" s="16" t="s">
        <v>714</v>
      </c>
      <c r="D295" s="37" t="s">
        <v>715</v>
      </c>
      <c r="E295" s="6" t="s">
        <v>659</v>
      </c>
      <c r="F295" s="70" t="s">
        <v>11</v>
      </c>
      <c r="G295" s="70" t="s">
        <v>11</v>
      </c>
      <c r="H295" s="70" t="s">
        <v>834</v>
      </c>
      <c r="I295" s="70" t="s">
        <v>834</v>
      </c>
      <c r="J295" s="70" t="s">
        <v>11</v>
      </c>
      <c r="K295" s="70" t="s">
        <v>11</v>
      </c>
      <c r="L295" s="70" t="s">
        <v>595</v>
      </c>
      <c r="M295" s="6" t="s">
        <v>1486</v>
      </c>
      <c r="N295" s="26">
        <v>25</v>
      </c>
      <c r="O295" s="57">
        <v>313</v>
      </c>
      <c r="P295" s="62">
        <f t="shared" si="4"/>
        <v>7825</v>
      </c>
      <c r="Q295" s="6" t="s">
        <v>616</v>
      </c>
      <c r="R295" s="6" t="s">
        <v>1055</v>
      </c>
      <c r="S295" s="38" t="s">
        <v>637</v>
      </c>
      <c r="T295" s="26">
        <v>30</v>
      </c>
    </row>
    <row r="296" spans="2:20" ht="76.5">
      <c r="B296" s="6">
        <v>280</v>
      </c>
      <c r="C296" s="36" t="s">
        <v>714</v>
      </c>
      <c r="D296" s="37" t="s">
        <v>715</v>
      </c>
      <c r="E296" s="6" t="s">
        <v>660</v>
      </c>
      <c r="F296" s="70" t="s">
        <v>771</v>
      </c>
      <c r="G296" s="70" t="s">
        <v>18</v>
      </c>
      <c r="H296" s="70" t="s">
        <v>2200</v>
      </c>
      <c r="I296" s="70" t="s">
        <v>1033</v>
      </c>
      <c r="J296" s="70" t="s">
        <v>771</v>
      </c>
      <c r="K296" s="70" t="s">
        <v>377</v>
      </c>
      <c r="L296" s="70" t="s">
        <v>595</v>
      </c>
      <c r="M296" s="6" t="s">
        <v>484</v>
      </c>
      <c r="N296" s="26">
        <v>2</v>
      </c>
      <c r="O296" s="57">
        <v>714</v>
      </c>
      <c r="P296" s="62">
        <f t="shared" si="4"/>
        <v>1428</v>
      </c>
      <c r="Q296" s="6" t="s">
        <v>616</v>
      </c>
      <c r="R296" s="6" t="s">
        <v>1055</v>
      </c>
      <c r="S296" s="38" t="s">
        <v>637</v>
      </c>
      <c r="T296" s="26">
        <v>30</v>
      </c>
    </row>
    <row r="297" spans="2:20" ht="63.75">
      <c r="B297" s="6">
        <v>281</v>
      </c>
      <c r="C297" s="36" t="s">
        <v>714</v>
      </c>
      <c r="D297" s="37" t="s">
        <v>715</v>
      </c>
      <c r="E297" s="6" t="s">
        <v>662</v>
      </c>
      <c r="F297" s="70" t="s">
        <v>378</v>
      </c>
      <c r="G297" s="70" t="s">
        <v>378</v>
      </c>
      <c r="H297" s="70" t="s">
        <v>2296</v>
      </c>
      <c r="I297" s="70" t="s">
        <v>663</v>
      </c>
      <c r="J297" s="70" t="s">
        <v>378</v>
      </c>
      <c r="K297" s="70" t="s">
        <v>198</v>
      </c>
      <c r="L297" s="70" t="s">
        <v>595</v>
      </c>
      <c r="M297" s="38" t="s">
        <v>648</v>
      </c>
      <c r="N297" s="26">
        <v>25</v>
      </c>
      <c r="O297" s="57">
        <v>67</v>
      </c>
      <c r="P297" s="62">
        <f t="shared" si="4"/>
        <v>1675</v>
      </c>
      <c r="Q297" s="6" t="s">
        <v>616</v>
      </c>
      <c r="R297" s="6" t="s">
        <v>1055</v>
      </c>
      <c r="S297" s="38" t="s">
        <v>637</v>
      </c>
      <c r="T297" s="26">
        <v>30</v>
      </c>
    </row>
    <row r="298" spans="2:20" ht="63.75">
      <c r="B298" s="6">
        <v>282</v>
      </c>
      <c r="C298" s="36" t="s">
        <v>714</v>
      </c>
      <c r="D298" s="37" t="s">
        <v>715</v>
      </c>
      <c r="E298" s="6" t="s">
        <v>664</v>
      </c>
      <c r="F298" s="70" t="s">
        <v>836</v>
      </c>
      <c r="G298" s="70" t="s">
        <v>12</v>
      </c>
      <c r="H298" s="70" t="s">
        <v>1645</v>
      </c>
      <c r="I298" s="70" t="s">
        <v>665</v>
      </c>
      <c r="J298" s="70" t="s">
        <v>836</v>
      </c>
      <c r="K298" s="70" t="s">
        <v>12</v>
      </c>
      <c r="L298" s="70" t="s">
        <v>595</v>
      </c>
      <c r="M298" s="38" t="s">
        <v>648</v>
      </c>
      <c r="N298" s="26">
        <v>5</v>
      </c>
      <c r="O298" s="57">
        <v>1339</v>
      </c>
      <c r="P298" s="62">
        <f t="shared" si="4"/>
        <v>6695</v>
      </c>
      <c r="Q298" s="6" t="s">
        <v>616</v>
      </c>
      <c r="R298" s="6" t="s">
        <v>1055</v>
      </c>
      <c r="S298" s="38" t="s">
        <v>637</v>
      </c>
      <c r="T298" s="26">
        <v>30</v>
      </c>
    </row>
    <row r="299" spans="2:20" ht="63.75">
      <c r="B299" s="6">
        <v>283</v>
      </c>
      <c r="C299" s="36" t="s">
        <v>714</v>
      </c>
      <c r="D299" s="37" t="s">
        <v>715</v>
      </c>
      <c r="E299" s="6" t="s">
        <v>414</v>
      </c>
      <c r="F299" s="70" t="s">
        <v>837</v>
      </c>
      <c r="G299" s="70" t="s">
        <v>379</v>
      </c>
      <c r="H299" s="70" t="s">
        <v>2281</v>
      </c>
      <c r="I299" s="70" t="s">
        <v>415</v>
      </c>
      <c r="J299" s="70" t="s">
        <v>2281</v>
      </c>
      <c r="K299" s="70" t="s">
        <v>379</v>
      </c>
      <c r="L299" s="70" t="s">
        <v>595</v>
      </c>
      <c r="M299" s="38" t="s">
        <v>648</v>
      </c>
      <c r="N299" s="26">
        <v>5</v>
      </c>
      <c r="O299" s="57">
        <v>1071</v>
      </c>
      <c r="P299" s="62">
        <f t="shared" si="4"/>
        <v>5355</v>
      </c>
      <c r="Q299" s="6" t="s">
        <v>616</v>
      </c>
      <c r="R299" s="6" t="s">
        <v>1055</v>
      </c>
      <c r="S299" s="38" t="s">
        <v>637</v>
      </c>
      <c r="T299" s="26">
        <v>30</v>
      </c>
    </row>
    <row r="300" spans="2:20" ht="63.75">
      <c r="B300" s="6">
        <v>284</v>
      </c>
      <c r="C300" s="36" t="s">
        <v>714</v>
      </c>
      <c r="D300" s="37" t="s">
        <v>715</v>
      </c>
      <c r="E300" s="6" t="s">
        <v>666</v>
      </c>
      <c r="F300" s="70" t="s">
        <v>2245</v>
      </c>
      <c r="G300" s="70" t="s">
        <v>667</v>
      </c>
      <c r="H300" s="70" t="s">
        <v>2246</v>
      </c>
      <c r="I300" s="70" t="s">
        <v>2248</v>
      </c>
      <c r="J300" s="70" t="s">
        <v>2247</v>
      </c>
      <c r="K300" s="70" t="s">
        <v>380</v>
      </c>
      <c r="L300" s="70" t="s">
        <v>595</v>
      </c>
      <c r="M300" s="6" t="s">
        <v>1487</v>
      </c>
      <c r="N300" s="26">
        <v>1</v>
      </c>
      <c r="O300" s="57">
        <v>26786</v>
      </c>
      <c r="P300" s="62">
        <f t="shared" si="4"/>
        <v>26786</v>
      </c>
      <c r="Q300" s="6" t="s">
        <v>616</v>
      </c>
      <c r="R300" s="6" t="s">
        <v>1055</v>
      </c>
      <c r="S300" s="38" t="s">
        <v>637</v>
      </c>
      <c r="T300" s="26">
        <v>30</v>
      </c>
    </row>
    <row r="301" spans="2:20" ht="63.75">
      <c r="B301" s="6">
        <v>285</v>
      </c>
      <c r="C301" s="36" t="s">
        <v>714</v>
      </c>
      <c r="D301" s="37" t="s">
        <v>715</v>
      </c>
      <c r="E301" s="6" t="s">
        <v>668</v>
      </c>
      <c r="F301" s="70" t="s">
        <v>2302</v>
      </c>
      <c r="G301" s="70" t="s">
        <v>669</v>
      </c>
      <c r="H301" s="70" t="s">
        <v>2307</v>
      </c>
      <c r="I301" s="70" t="s">
        <v>2306</v>
      </c>
      <c r="J301" s="70" t="s">
        <v>2305</v>
      </c>
      <c r="K301" s="70" t="s">
        <v>381</v>
      </c>
      <c r="L301" s="70" t="s">
        <v>595</v>
      </c>
      <c r="M301" s="38" t="s">
        <v>648</v>
      </c>
      <c r="N301" s="26">
        <v>1</v>
      </c>
      <c r="O301" s="57">
        <v>26786</v>
      </c>
      <c r="P301" s="62">
        <f t="shared" si="4"/>
        <v>26786</v>
      </c>
      <c r="Q301" s="6" t="s">
        <v>616</v>
      </c>
      <c r="R301" s="6" t="s">
        <v>1055</v>
      </c>
      <c r="S301" s="38" t="s">
        <v>637</v>
      </c>
      <c r="T301" s="26">
        <v>30</v>
      </c>
    </row>
    <row r="302" spans="2:20" ht="63.75">
      <c r="B302" s="6">
        <v>286</v>
      </c>
      <c r="C302" s="36" t="s">
        <v>714</v>
      </c>
      <c r="D302" s="37" t="s">
        <v>715</v>
      </c>
      <c r="E302" s="6" t="s">
        <v>416</v>
      </c>
      <c r="F302" s="70" t="s">
        <v>839</v>
      </c>
      <c r="G302" s="70" t="s">
        <v>381</v>
      </c>
      <c r="H302" s="70" t="s">
        <v>840</v>
      </c>
      <c r="I302" s="70" t="s">
        <v>417</v>
      </c>
      <c r="J302" s="70" t="s">
        <v>2301</v>
      </c>
      <c r="K302" s="70" t="s">
        <v>382</v>
      </c>
      <c r="L302" s="70" t="s">
        <v>595</v>
      </c>
      <c r="M302" s="38" t="s">
        <v>648</v>
      </c>
      <c r="N302" s="26">
        <v>1</v>
      </c>
      <c r="O302" s="57">
        <v>16071</v>
      </c>
      <c r="P302" s="62">
        <f t="shared" si="4"/>
        <v>16071</v>
      </c>
      <c r="Q302" s="6" t="s">
        <v>616</v>
      </c>
      <c r="R302" s="6" t="s">
        <v>1055</v>
      </c>
      <c r="S302" s="38" t="s">
        <v>637</v>
      </c>
      <c r="T302" s="26">
        <v>30</v>
      </c>
    </row>
    <row r="303" spans="2:20" ht="63.75">
      <c r="B303" s="6">
        <v>287</v>
      </c>
      <c r="C303" s="36" t="s">
        <v>714</v>
      </c>
      <c r="D303" s="37" t="s">
        <v>715</v>
      </c>
      <c r="E303" s="6" t="s">
        <v>671</v>
      </c>
      <c r="F303" s="70" t="s">
        <v>2192</v>
      </c>
      <c r="G303" s="70" t="s">
        <v>13</v>
      </c>
      <c r="H303" s="70" t="s">
        <v>2193</v>
      </c>
      <c r="I303" s="70" t="s">
        <v>672</v>
      </c>
      <c r="J303" s="70" t="s">
        <v>2192</v>
      </c>
      <c r="K303" s="70" t="s">
        <v>13</v>
      </c>
      <c r="L303" s="70" t="s">
        <v>595</v>
      </c>
      <c r="M303" s="38" t="s">
        <v>648</v>
      </c>
      <c r="N303" s="26">
        <v>3</v>
      </c>
      <c r="O303" s="57">
        <v>2679</v>
      </c>
      <c r="P303" s="62">
        <f t="shared" si="4"/>
        <v>8037</v>
      </c>
      <c r="Q303" s="6" t="s">
        <v>616</v>
      </c>
      <c r="R303" s="6" t="s">
        <v>1055</v>
      </c>
      <c r="S303" s="38" t="s">
        <v>637</v>
      </c>
      <c r="T303" s="26">
        <v>30</v>
      </c>
    </row>
    <row r="304" spans="2:20" ht="63.75">
      <c r="B304" s="6">
        <v>288</v>
      </c>
      <c r="C304" s="36" t="s">
        <v>714</v>
      </c>
      <c r="D304" s="37" t="s">
        <v>715</v>
      </c>
      <c r="E304" s="6" t="s">
        <v>420</v>
      </c>
      <c r="F304" s="70" t="s">
        <v>2232</v>
      </c>
      <c r="G304" s="70" t="s">
        <v>421</v>
      </c>
      <c r="H304" s="70" t="s">
        <v>2233</v>
      </c>
      <c r="I304" s="70" t="s">
        <v>422</v>
      </c>
      <c r="J304" s="70" t="s">
        <v>2232</v>
      </c>
      <c r="K304" s="70" t="s">
        <v>383</v>
      </c>
      <c r="L304" s="70" t="s">
        <v>595</v>
      </c>
      <c r="M304" s="38" t="s">
        <v>648</v>
      </c>
      <c r="N304" s="26">
        <v>1</v>
      </c>
      <c r="O304" s="57">
        <v>16071</v>
      </c>
      <c r="P304" s="62">
        <f t="shared" si="4"/>
        <v>16071</v>
      </c>
      <c r="Q304" s="6" t="s">
        <v>616</v>
      </c>
      <c r="R304" s="6" t="s">
        <v>1055</v>
      </c>
      <c r="S304" s="38" t="s">
        <v>637</v>
      </c>
      <c r="T304" s="26">
        <v>30</v>
      </c>
    </row>
    <row r="305" spans="2:20" ht="63.75">
      <c r="B305" s="6">
        <v>289</v>
      </c>
      <c r="C305" s="16" t="s">
        <v>714</v>
      </c>
      <c r="D305" s="37" t="s">
        <v>715</v>
      </c>
      <c r="E305" s="6" t="s">
        <v>1010</v>
      </c>
      <c r="F305" s="70" t="s">
        <v>2086</v>
      </c>
      <c r="G305" s="70" t="s">
        <v>1011</v>
      </c>
      <c r="H305" s="70" t="s">
        <v>2087</v>
      </c>
      <c r="I305" s="70" t="s">
        <v>1012</v>
      </c>
      <c r="J305" s="70" t="s">
        <v>2086</v>
      </c>
      <c r="K305" s="70" t="s">
        <v>384</v>
      </c>
      <c r="L305" s="70" t="s">
        <v>595</v>
      </c>
      <c r="M305" s="38" t="s">
        <v>648</v>
      </c>
      <c r="N305" s="26">
        <v>1</v>
      </c>
      <c r="O305" s="57">
        <v>1786</v>
      </c>
      <c r="P305" s="62">
        <f t="shared" si="4"/>
        <v>1786</v>
      </c>
      <c r="Q305" s="6" t="s">
        <v>616</v>
      </c>
      <c r="R305" s="6" t="s">
        <v>1055</v>
      </c>
      <c r="S305" s="38" t="s">
        <v>637</v>
      </c>
      <c r="T305" s="26">
        <v>30</v>
      </c>
    </row>
    <row r="306" spans="2:20" ht="63.75">
      <c r="B306" s="6">
        <v>290</v>
      </c>
      <c r="C306" s="36" t="s">
        <v>714</v>
      </c>
      <c r="D306" s="37" t="s">
        <v>715</v>
      </c>
      <c r="E306" s="6" t="s">
        <v>807</v>
      </c>
      <c r="F306" s="70" t="s">
        <v>808</v>
      </c>
      <c r="G306" s="70" t="s">
        <v>368</v>
      </c>
      <c r="H306" s="70" t="s">
        <v>809</v>
      </c>
      <c r="I306" s="70" t="s">
        <v>810</v>
      </c>
      <c r="J306" s="70" t="s">
        <v>808</v>
      </c>
      <c r="K306" s="70" t="s">
        <v>368</v>
      </c>
      <c r="L306" s="70" t="s">
        <v>595</v>
      </c>
      <c r="M306" s="38" t="s">
        <v>648</v>
      </c>
      <c r="N306" s="26">
        <v>5</v>
      </c>
      <c r="O306" s="57">
        <v>313</v>
      </c>
      <c r="P306" s="62">
        <f t="shared" si="4"/>
        <v>1565</v>
      </c>
      <c r="Q306" s="6" t="s">
        <v>505</v>
      </c>
      <c r="R306" s="6" t="s">
        <v>770</v>
      </c>
      <c r="S306" s="38">
        <v>311000000</v>
      </c>
      <c r="T306" s="26">
        <v>30</v>
      </c>
    </row>
    <row r="307" spans="2:20" ht="51">
      <c r="B307" s="6">
        <v>291</v>
      </c>
      <c r="C307" s="16" t="s">
        <v>714</v>
      </c>
      <c r="D307" s="37" t="s">
        <v>715</v>
      </c>
      <c r="E307" s="12" t="s">
        <v>811</v>
      </c>
      <c r="F307" s="70" t="s">
        <v>1602</v>
      </c>
      <c r="G307" s="70" t="s">
        <v>2387</v>
      </c>
      <c r="H307" s="70" t="s">
        <v>1603</v>
      </c>
      <c r="I307" s="70" t="s">
        <v>812</v>
      </c>
      <c r="J307" s="70" t="s">
        <v>1604</v>
      </c>
      <c r="K307" s="70" t="s">
        <v>5</v>
      </c>
      <c r="L307" s="70" t="s">
        <v>595</v>
      </c>
      <c r="M307" s="38" t="s">
        <v>648</v>
      </c>
      <c r="N307" s="26">
        <v>2</v>
      </c>
      <c r="O307" s="57">
        <v>714</v>
      </c>
      <c r="P307" s="62">
        <f t="shared" si="4"/>
        <v>1428</v>
      </c>
      <c r="Q307" s="6" t="s">
        <v>505</v>
      </c>
      <c r="R307" s="6" t="s">
        <v>770</v>
      </c>
      <c r="S307" s="38">
        <v>311000000</v>
      </c>
      <c r="T307" s="26">
        <v>30</v>
      </c>
    </row>
    <row r="308" spans="2:20" ht="51">
      <c r="B308" s="6">
        <v>292</v>
      </c>
      <c r="C308" s="36" t="s">
        <v>714</v>
      </c>
      <c r="D308" s="37" t="s">
        <v>715</v>
      </c>
      <c r="E308" s="12" t="s">
        <v>956</v>
      </c>
      <c r="F308" s="70" t="s">
        <v>2178</v>
      </c>
      <c r="G308" s="70" t="s">
        <v>957</v>
      </c>
      <c r="H308" s="70" t="s">
        <v>2178</v>
      </c>
      <c r="I308" s="70" t="s">
        <v>957</v>
      </c>
      <c r="J308" s="70" t="s">
        <v>6</v>
      </c>
      <c r="K308" s="70" t="s">
        <v>6</v>
      </c>
      <c r="L308" s="70" t="s">
        <v>595</v>
      </c>
      <c r="M308" s="38" t="s">
        <v>648</v>
      </c>
      <c r="N308" s="26">
        <v>4</v>
      </c>
      <c r="O308" s="57">
        <v>3125</v>
      </c>
      <c r="P308" s="62">
        <f t="shared" si="4"/>
        <v>12500</v>
      </c>
      <c r="Q308" s="6" t="s">
        <v>505</v>
      </c>
      <c r="R308" s="6" t="s">
        <v>770</v>
      </c>
      <c r="S308" s="38">
        <v>311000000</v>
      </c>
      <c r="T308" s="26">
        <v>30</v>
      </c>
    </row>
    <row r="309" spans="2:20" ht="51">
      <c r="B309" s="6">
        <v>293</v>
      </c>
      <c r="C309" s="36" t="s">
        <v>714</v>
      </c>
      <c r="D309" s="37" t="s">
        <v>715</v>
      </c>
      <c r="E309" s="6" t="s">
        <v>638</v>
      </c>
      <c r="F309" s="70" t="s">
        <v>817</v>
      </c>
      <c r="G309" s="70" t="s">
        <v>369</v>
      </c>
      <c r="H309" s="70" t="s">
        <v>818</v>
      </c>
      <c r="I309" s="70" t="s">
        <v>639</v>
      </c>
      <c r="J309" s="70" t="s">
        <v>817</v>
      </c>
      <c r="K309" s="70" t="s">
        <v>369</v>
      </c>
      <c r="L309" s="70" t="s">
        <v>595</v>
      </c>
      <c r="M309" s="38" t="s">
        <v>648</v>
      </c>
      <c r="N309" s="26">
        <v>2</v>
      </c>
      <c r="O309" s="57">
        <v>223</v>
      </c>
      <c r="P309" s="62">
        <f t="shared" si="4"/>
        <v>446</v>
      </c>
      <c r="Q309" s="6" t="s">
        <v>505</v>
      </c>
      <c r="R309" s="6" t="s">
        <v>770</v>
      </c>
      <c r="S309" s="38">
        <v>311000000</v>
      </c>
      <c r="T309" s="26">
        <v>30</v>
      </c>
    </row>
    <row r="310" spans="2:20" ht="76.5">
      <c r="B310" s="6">
        <v>294</v>
      </c>
      <c r="C310" s="16" t="s">
        <v>714</v>
      </c>
      <c r="D310" s="37" t="s">
        <v>715</v>
      </c>
      <c r="E310" s="6" t="s">
        <v>958</v>
      </c>
      <c r="F310" s="70" t="s">
        <v>1007</v>
      </c>
      <c r="G310" s="70" t="s">
        <v>370</v>
      </c>
      <c r="H310" s="70" t="s">
        <v>2179</v>
      </c>
      <c r="I310" s="70" t="s">
        <v>959</v>
      </c>
      <c r="J310" s="70" t="s">
        <v>1007</v>
      </c>
      <c r="K310" s="70" t="s">
        <v>370</v>
      </c>
      <c r="L310" s="70" t="s">
        <v>595</v>
      </c>
      <c r="M310" s="38" t="s">
        <v>648</v>
      </c>
      <c r="N310" s="26">
        <v>2</v>
      </c>
      <c r="O310" s="57">
        <v>313</v>
      </c>
      <c r="P310" s="62">
        <f t="shared" si="4"/>
        <v>626</v>
      </c>
      <c r="Q310" s="6" t="s">
        <v>505</v>
      </c>
      <c r="R310" s="6" t="s">
        <v>770</v>
      </c>
      <c r="S310" s="38">
        <v>311000000</v>
      </c>
      <c r="T310" s="26">
        <v>30</v>
      </c>
    </row>
    <row r="311" spans="2:20" ht="102">
      <c r="B311" s="6">
        <v>295</v>
      </c>
      <c r="C311" s="36" t="s">
        <v>714</v>
      </c>
      <c r="D311" s="37" t="s">
        <v>715</v>
      </c>
      <c r="E311" s="6" t="s">
        <v>640</v>
      </c>
      <c r="F311" s="70" t="s">
        <v>819</v>
      </c>
      <c r="G311" s="70" t="s">
        <v>371</v>
      </c>
      <c r="H311" s="70" t="s">
        <v>820</v>
      </c>
      <c r="I311" s="70" t="s">
        <v>641</v>
      </c>
      <c r="J311" s="70" t="s">
        <v>819</v>
      </c>
      <c r="K311" s="70" t="s">
        <v>371</v>
      </c>
      <c r="L311" s="70" t="s">
        <v>595</v>
      </c>
      <c r="M311" s="38" t="s">
        <v>648</v>
      </c>
      <c r="N311" s="26">
        <v>1</v>
      </c>
      <c r="O311" s="57">
        <v>14286</v>
      </c>
      <c r="P311" s="62">
        <f t="shared" si="4"/>
        <v>14286</v>
      </c>
      <c r="Q311" s="6" t="s">
        <v>395</v>
      </c>
      <c r="R311" s="6" t="s">
        <v>770</v>
      </c>
      <c r="S311" s="38">
        <v>311000000</v>
      </c>
      <c r="T311" s="26">
        <v>30</v>
      </c>
    </row>
    <row r="312" spans="2:20" ht="51">
      <c r="B312" s="6">
        <v>296</v>
      </c>
      <c r="C312" s="36" t="s">
        <v>714</v>
      </c>
      <c r="D312" s="37" t="s">
        <v>715</v>
      </c>
      <c r="E312" s="6" t="s">
        <v>643</v>
      </c>
      <c r="F312" s="70" t="s">
        <v>2180</v>
      </c>
      <c r="G312" s="70" t="s">
        <v>372</v>
      </c>
      <c r="H312" s="70" t="s">
        <v>821</v>
      </c>
      <c r="I312" s="70" t="s">
        <v>644</v>
      </c>
      <c r="J312" s="70" t="s">
        <v>2180</v>
      </c>
      <c r="K312" s="70" t="s">
        <v>372</v>
      </c>
      <c r="L312" s="70" t="s">
        <v>595</v>
      </c>
      <c r="M312" s="38" t="s">
        <v>648</v>
      </c>
      <c r="N312" s="26">
        <v>1</v>
      </c>
      <c r="O312" s="57">
        <v>1786</v>
      </c>
      <c r="P312" s="62">
        <f t="shared" si="4"/>
        <v>1786</v>
      </c>
      <c r="Q312" s="6" t="s">
        <v>395</v>
      </c>
      <c r="R312" s="6" t="s">
        <v>770</v>
      </c>
      <c r="S312" s="38">
        <v>311000000</v>
      </c>
      <c r="T312" s="26">
        <v>30</v>
      </c>
    </row>
    <row r="313" spans="2:20" ht="51">
      <c r="B313" s="6">
        <v>297</v>
      </c>
      <c r="C313" s="36" t="s">
        <v>714</v>
      </c>
      <c r="D313" s="37" t="s">
        <v>715</v>
      </c>
      <c r="E313" s="6" t="s">
        <v>399</v>
      </c>
      <c r="F313" s="70" t="s">
        <v>822</v>
      </c>
      <c r="G313" s="70" t="s">
        <v>373</v>
      </c>
      <c r="H313" s="70" t="s">
        <v>823</v>
      </c>
      <c r="I313" s="70" t="s">
        <v>400</v>
      </c>
      <c r="J313" s="70" t="s">
        <v>822</v>
      </c>
      <c r="K313" s="70" t="s">
        <v>373</v>
      </c>
      <c r="L313" s="70" t="s">
        <v>595</v>
      </c>
      <c r="M313" s="6" t="s">
        <v>673</v>
      </c>
      <c r="N313" s="26">
        <v>5</v>
      </c>
      <c r="O313" s="57">
        <v>156</v>
      </c>
      <c r="P313" s="62">
        <f t="shared" si="4"/>
        <v>780</v>
      </c>
      <c r="Q313" s="6" t="s">
        <v>616</v>
      </c>
      <c r="R313" s="6" t="s">
        <v>770</v>
      </c>
      <c r="S313" s="38">
        <v>311000000</v>
      </c>
      <c r="T313" s="26">
        <v>30</v>
      </c>
    </row>
    <row r="314" spans="2:20" ht="114.75">
      <c r="B314" s="6">
        <v>298</v>
      </c>
      <c r="C314" s="16" t="s">
        <v>714</v>
      </c>
      <c r="D314" s="37" t="s">
        <v>715</v>
      </c>
      <c r="E314" s="6" t="s">
        <v>1083</v>
      </c>
      <c r="F314" s="70" t="s">
        <v>374</v>
      </c>
      <c r="G314" s="70" t="s">
        <v>374</v>
      </c>
      <c r="H314" s="70" t="s">
        <v>1629</v>
      </c>
      <c r="I314" s="70" t="s">
        <v>1084</v>
      </c>
      <c r="J314" s="70" t="s">
        <v>193</v>
      </c>
      <c r="K314" s="70" t="s">
        <v>374</v>
      </c>
      <c r="L314" s="70" t="s">
        <v>595</v>
      </c>
      <c r="M314" s="6" t="s">
        <v>655</v>
      </c>
      <c r="N314" s="26">
        <v>50</v>
      </c>
      <c r="O314" s="57">
        <v>179</v>
      </c>
      <c r="P314" s="62">
        <f t="shared" si="4"/>
        <v>8950</v>
      </c>
      <c r="Q314" s="6" t="s">
        <v>506</v>
      </c>
      <c r="R314" s="6" t="s">
        <v>770</v>
      </c>
      <c r="S314" s="38">
        <v>311000000</v>
      </c>
      <c r="T314" s="26">
        <v>30</v>
      </c>
    </row>
    <row r="315" spans="2:20" ht="89.25">
      <c r="B315" s="6">
        <v>299</v>
      </c>
      <c r="C315" s="36" t="s">
        <v>714</v>
      </c>
      <c r="D315" s="37" t="s">
        <v>715</v>
      </c>
      <c r="E315" s="6" t="s">
        <v>649</v>
      </c>
      <c r="F315" s="70" t="s">
        <v>824</v>
      </c>
      <c r="G315" s="70" t="s">
        <v>10</v>
      </c>
      <c r="H315" s="70" t="s">
        <v>825</v>
      </c>
      <c r="I315" s="70" t="s">
        <v>650</v>
      </c>
      <c r="J315" s="70" t="s">
        <v>824</v>
      </c>
      <c r="K315" s="70" t="s">
        <v>10</v>
      </c>
      <c r="L315" s="70" t="s">
        <v>595</v>
      </c>
      <c r="M315" s="38" t="s">
        <v>648</v>
      </c>
      <c r="N315" s="26">
        <v>2</v>
      </c>
      <c r="O315" s="57">
        <v>1339</v>
      </c>
      <c r="P315" s="62">
        <f t="shared" si="4"/>
        <v>2678</v>
      </c>
      <c r="Q315" s="6" t="s">
        <v>616</v>
      </c>
      <c r="R315" s="6" t="s">
        <v>770</v>
      </c>
      <c r="S315" s="38">
        <v>311000000</v>
      </c>
      <c r="T315" s="26">
        <v>30</v>
      </c>
    </row>
    <row r="316" spans="2:20" ht="51">
      <c r="B316" s="6">
        <v>300</v>
      </c>
      <c r="C316" s="16" t="s">
        <v>714</v>
      </c>
      <c r="D316" s="37" t="s">
        <v>715</v>
      </c>
      <c r="E316" s="6" t="s">
        <v>960</v>
      </c>
      <c r="F316" s="70" t="s">
        <v>2185</v>
      </c>
      <c r="G316" s="70" t="s">
        <v>199</v>
      </c>
      <c r="H316" s="70" t="s">
        <v>2236</v>
      </c>
      <c r="I316" s="70" t="s">
        <v>961</v>
      </c>
      <c r="J316" s="70" t="s">
        <v>2185</v>
      </c>
      <c r="K316" s="70" t="s">
        <v>199</v>
      </c>
      <c r="L316" s="70" t="s">
        <v>595</v>
      </c>
      <c r="M316" s="38" t="s">
        <v>648</v>
      </c>
      <c r="N316" s="26">
        <v>4</v>
      </c>
      <c r="O316" s="57">
        <v>2232</v>
      </c>
      <c r="P316" s="62">
        <f t="shared" si="4"/>
        <v>8928</v>
      </c>
      <c r="Q316" s="6" t="s">
        <v>616</v>
      </c>
      <c r="R316" s="6" t="s">
        <v>770</v>
      </c>
      <c r="S316" s="38">
        <v>311000000</v>
      </c>
      <c r="T316" s="26">
        <v>30</v>
      </c>
    </row>
    <row r="317" spans="2:20" ht="51">
      <c r="B317" s="6">
        <v>301</v>
      </c>
      <c r="C317" s="16" t="s">
        <v>714</v>
      </c>
      <c r="D317" s="37" t="s">
        <v>715</v>
      </c>
      <c r="E317" s="6" t="s">
        <v>653</v>
      </c>
      <c r="F317" s="70" t="s">
        <v>1633</v>
      </c>
      <c r="G317" s="70" t="s">
        <v>375</v>
      </c>
      <c r="H317" s="70" t="s">
        <v>1635</v>
      </c>
      <c r="I317" s="70" t="s">
        <v>654</v>
      </c>
      <c r="J317" s="70" t="s">
        <v>1633</v>
      </c>
      <c r="K317" s="70" t="s">
        <v>375</v>
      </c>
      <c r="L317" s="70" t="s">
        <v>595</v>
      </c>
      <c r="M317" s="6" t="s">
        <v>655</v>
      </c>
      <c r="N317" s="26">
        <v>2</v>
      </c>
      <c r="O317" s="57">
        <v>446</v>
      </c>
      <c r="P317" s="62">
        <f t="shared" si="4"/>
        <v>892</v>
      </c>
      <c r="Q317" s="6" t="s">
        <v>505</v>
      </c>
      <c r="R317" s="6" t="s">
        <v>770</v>
      </c>
      <c r="S317" s="38">
        <v>311000000</v>
      </c>
      <c r="T317" s="26">
        <v>30</v>
      </c>
    </row>
    <row r="318" spans="2:20" ht="51">
      <c r="B318" s="6">
        <v>302</v>
      </c>
      <c r="C318" s="36" t="s">
        <v>714</v>
      </c>
      <c r="D318" s="37" t="s">
        <v>715</v>
      </c>
      <c r="E318" s="6" t="s">
        <v>962</v>
      </c>
      <c r="F318" s="70" t="s">
        <v>1637</v>
      </c>
      <c r="G318" s="70" t="s">
        <v>376</v>
      </c>
      <c r="H318" s="70" t="s">
        <v>2227</v>
      </c>
      <c r="I318" s="70" t="s">
        <v>963</v>
      </c>
      <c r="J318" s="70" t="s">
        <v>1637</v>
      </c>
      <c r="K318" s="70" t="s">
        <v>376</v>
      </c>
      <c r="L318" s="70" t="s">
        <v>595</v>
      </c>
      <c r="M318" s="38" t="s">
        <v>648</v>
      </c>
      <c r="N318" s="26">
        <v>50</v>
      </c>
      <c r="O318" s="57">
        <v>179</v>
      </c>
      <c r="P318" s="62">
        <f t="shared" si="4"/>
        <v>8950</v>
      </c>
      <c r="Q318" s="6" t="s">
        <v>395</v>
      </c>
      <c r="R318" s="6" t="s">
        <v>770</v>
      </c>
      <c r="S318" s="38">
        <v>311000000</v>
      </c>
      <c r="T318" s="26">
        <v>30</v>
      </c>
    </row>
    <row r="319" spans="2:20" ht="51">
      <c r="B319" s="6">
        <v>303</v>
      </c>
      <c r="C319" s="16" t="s">
        <v>714</v>
      </c>
      <c r="D319" s="37" t="s">
        <v>715</v>
      </c>
      <c r="E319" s="6" t="s">
        <v>964</v>
      </c>
      <c r="F319" s="70" t="s">
        <v>11</v>
      </c>
      <c r="G319" s="70" t="s">
        <v>11</v>
      </c>
      <c r="H319" s="70" t="s">
        <v>2198</v>
      </c>
      <c r="I319" s="70" t="s">
        <v>965</v>
      </c>
      <c r="J319" s="70" t="s">
        <v>11</v>
      </c>
      <c r="K319" s="70" t="s">
        <v>11</v>
      </c>
      <c r="L319" s="70" t="s">
        <v>595</v>
      </c>
      <c r="M319" s="6" t="s">
        <v>1486</v>
      </c>
      <c r="N319" s="26">
        <v>25</v>
      </c>
      <c r="O319" s="57">
        <v>313</v>
      </c>
      <c r="P319" s="62">
        <f t="shared" si="4"/>
        <v>7825</v>
      </c>
      <c r="Q319" s="6" t="s">
        <v>506</v>
      </c>
      <c r="R319" s="6" t="s">
        <v>770</v>
      </c>
      <c r="S319" s="38">
        <v>311000000</v>
      </c>
      <c r="T319" s="26">
        <v>30</v>
      </c>
    </row>
    <row r="320" spans="2:20" ht="76.5">
      <c r="B320" s="6">
        <v>304</v>
      </c>
      <c r="C320" s="36" t="s">
        <v>714</v>
      </c>
      <c r="D320" s="37" t="s">
        <v>715</v>
      </c>
      <c r="E320" s="6" t="s">
        <v>660</v>
      </c>
      <c r="F320" s="70" t="s">
        <v>771</v>
      </c>
      <c r="G320" s="70" t="s">
        <v>18</v>
      </c>
      <c r="H320" s="70" t="s">
        <v>2200</v>
      </c>
      <c r="I320" s="70" t="s">
        <v>1033</v>
      </c>
      <c r="J320" s="70" t="s">
        <v>771</v>
      </c>
      <c r="K320" s="70" t="s">
        <v>377</v>
      </c>
      <c r="L320" s="70" t="s">
        <v>595</v>
      </c>
      <c r="M320" s="6" t="s">
        <v>484</v>
      </c>
      <c r="N320" s="26">
        <v>2</v>
      </c>
      <c r="O320" s="57">
        <v>714</v>
      </c>
      <c r="P320" s="62">
        <f t="shared" si="4"/>
        <v>1428</v>
      </c>
      <c r="Q320" s="6" t="s">
        <v>506</v>
      </c>
      <c r="R320" s="6" t="s">
        <v>770</v>
      </c>
      <c r="S320" s="38">
        <v>311000000</v>
      </c>
      <c r="T320" s="26">
        <v>30</v>
      </c>
    </row>
    <row r="321" spans="2:20" ht="51">
      <c r="B321" s="6">
        <v>305</v>
      </c>
      <c r="C321" s="36" t="s">
        <v>714</v>
      </c>
      <c r="D321" s="37" t="s">
        <v>715</v>
      </c>
      <c r="E321" s="6" t="s">
        <v>966</v>
      </c>
      <c r="F321" s="70" t="s">
        <v>378</v>
      </c>
      <c r="G321" s="70" t="s">
        <v>378</v>
      </c>
      <c r="H321" s="70" t="s">
        <v>2295</v>
      </c>
      <c r="I321" s="70" t="s">
        <v>967</v>
      </c>
      <c r="J321" s="70" t="s">
        <v>378</v>
      </c>
      <c r="K321" s="70" t="s">
        <v>198</v>
      </c>
      <c r="L321" s="70" t="s">
        <v>595</v>
      </c>
      <c r="M321" s="38" t="s">
        <v>648</v>
      </c>
      <c r="N321" s="26">
        <v>25</v>
      </c>
      <c r="O321" s="57">
        <v>67</v>
      </c>
      <c r="P321" s="62">
        <f t="shared" si="4"/>
        <v>1675</v>
      </c>
      <c r="Q321" s="6" t="s">
        <v>395</v>
      </c>
      <c r="R321" s="6" t="s">
        <v>770</v>
      </c>
      <c r="S321" s="38">
        <v>311000000</v>
      </c>
      <c r="T321" s="26">
        <v>30</v>
      </c>
    </row>
    <row r="322" spans="2:20" ht="51">
      <c r="B322" s="6">
        <v>306</v>
      </c>
      <c r="C322" s="36" t="s">
        <v>714</v>
      </c>
      <c r="D322" s="37" t="s">
        <v>715</v>
      </c>
      <c r="E322" s="6" t="s">
        <v>664</v>
      </c>
      <c r="F322" s="70" t="s">
        <v>836</v>
      </c>
      <c r="G322" s="70" t="s">
        <v>12</v>
      </c>
      <c r="H322" s="70" t="s">
        <v>1645</v>
      </c>
      <c r="I322" s="70" t="s">
        <v>665</v>
      </c>
      <c r="J322" s="70" t="s">
        <v>836</v>
      </c>
      <c r="K322" s="70" t="s">
        <v>12</v>
      </c>
      <c r="L322" s="70" t="s">
        <v>595</v>
      </c>
      <c r="M322" s="38" t="s">
        <v>648</v>
      </c>
      <c r="N322" s="26">
        <v>5</v>
      </c>
      <c r="O322" s="57">
        <v>1339</v>
      </c>
      <c r="P322" s="62">
        <f t="shared" si="4"/>
        <v>6695</v>
      </c>
      <c r="Q322" s="6" t="s">
        <v>395</v>
      </c>
      <c r="R322" s="6" t="s">
        <v>770</v>
      </c>
      <c r="S322" s="38">
        <v>311000000</v>
      </c>
      <c r="T322" s="26">
        <v>30</v>
      </c>
    </row>
    <row r="323" spans="2:20" ht="51">
      <c r="B323" s="6">
        <v>307</v>
      </c>
      <c r="C323" s="36" t="s">
        <v>714</v>
      </c>
      <c r="D323" s="37" t="s">
        <v>715</v>
      </c>
      <c r="E323" s="6" t="s">
        <v>414</v>
      </c>
      <c r="F323" s="70" t="s">
        <v>837</v>
      </c>
      <c r="G323" s="70" t="s">
        <v>379</v>
      </c>
      <c r="H323" s="70" t="s">
        <v>2281</v>
      </c>
      <c r="I323" s="70" t="s">
        <v>415</v>
      </c>
      <c r="J323" s="70" t="s">
        <v>2281</v>
      </c>
      <c r="K323" s="70" t="s">
        <v>379</v>
      </c>
      <c r="L323" s="70" t="s">
        <v>595</v>
      </c>
      <c r="M323" s="38" t="s">
        <v>648</v>
      </c>
      <c r="N323" s="26">
        <v>5</v>
      </c>
      <c r="O323" s="57">
        <v>1071</v>
      </c>
      <c r="P323" s="62">
        <f t="shared" si="4"/>
        <v>5355</v>
      </c>
      <c r="Q323" s="6" t="s">
        <v>395</v>
      </c>
      <c r="R323" s="6" t="s">
        <v>770</v>
      </c>
      <c r="S323" s="38">
        <v>311000000</v>
      </c>
      <c r="T323" s="26">
        <v>30</v>
      </c>
    </row>
    <row r="324" spans="2:20" ht="51">
      <c r="B324" s="6">
        <v>308</v>
      </c>
      <c r="C324" s="36" t="s">
        <v>714</v>
      </c>
      <c r="D324" s="37" t="s">
        <v>715</v>
      </c>
      <c r="E324" s="6" t="s">
        <v>666</v>
      </c>
      <c r="F324" s="70" t="s">
        <v>2245</v>
      </c>
      <c r="G324" s="70" t="s">
        <v>667</v>
      </c>
      <c r="H324" s="70" t="s">
        <v>2246</v>
      </c>
      <c r="I324" s="70" t="s">
        <v>2248</v>
      </c>
      <c r="J324" s="70" t="s">
        <v>2247</v>
      </c>
      <c r="K324" s="70" t="s">
        <v>380</v>
      </c>
      <c r="L324" s="70" t="s">
        <v>595</v>
      </c>
      <c r="M324" s="6" t="s">
        <v>1487</v>
      </c>
      <c r="N324" s="26">
        <v>1</v>
      </c>
      <c r="O324" s="57">
        <v>26786</v>
      </c>
      <c r="P324" s="62">
        <f t="shared" si="4"/>
        <v>26786</v>
      </c>
      <c r="Q324" s="6" t="s">
        <v>395</v>
      </c>
      <c r="R324" s="6" t="s">
        <v>770</v>
      </c>
      <c r="S324" s="38">
        <v>311000000</v>
      </c>
      <c r="T324" s="26">
        <v>30</v>
      </c>
    </row>
    <row r="325" spans="2:20" ht="51">
      <c r="B325" s="6">
        <v>309</v>
      </c>
      <c r="C325" s="36" t="s">
        <v>714</v>
      </c>
      <c r="D325" s="37" t="s">
        <v>715</v>
      </c>
      <c r="E325" s="6" t="s">
        <v>416</v>
      </c>
      <c r="F325" s="70" t="s">
        <v>839</v>
      </c>
      <c r="G325" s="70" t="s">
        <v>381</v>
      </c>
      <c r="H325" s="70" t="s">
        <v>840</v>
      </c>
      <c r="I325" s="70" t="s">
        <v>417</v>
      </c>
      <c r="J325" s="70" t="s">
        <v>2305</v>
      </c>
      <c r="K325" s="70" t="s">
        <v>381</v>
      </c>
      <c r="L325" s="70" t="s">
        <v>595</v>
      </c>
      <c r="M325" s="38" t="s">
        <v>648</v>
      </c>
      <c r="N325" s="26">
        <v>1</v>
      </c>
      <c r="O325" s="57">
        <v>26786</v>
      </c>
      <c r="P325" s="62">
        <f t="shared" si="4"/>
        <v>26786</v>
      </c>
      <c r="Q325" s="6" t="s">
        <v>395</v>
      </c>
      <c r="R325" s="6" t="s">
        <v>770</v>
      </c>
      <c r="S325" s="38">
        <v>311000000</v>
      </c>
      <c r="T325" s="26">
        <v>30</v>
      </c>
    </row>
    <row r="326" spans="2:20" ht="51">
      <c r="B326" s="6">
        <v>310</v>
      </c>
      <c r="C326" s="36" t="s">
        <v>714</v>
      </c>
      <c r="D326" s="37" t="s">
        <v>715</v>
      </c>
      <c r="E326" s="6" t="s">
        <v>416</v>
      </c>
      <c r="F326" s="70" t="s">
        <v>839</v>
      </c>
      <c r="G326" s="70" t="s">
        <v>381</v>
      </c>
      <c r="H326" s="70" t="s">
        <v>840</v>
      </c>
      <c r="I326" s="70" t="s">
        <v>417</v>
      </c>
      <c r="J326" s="70" t="s">
        <v>2301</v>
      </c>
      <c r="K326" s="70" t="s">
        <v>382</v>
      </c>
      <c r="L326" s="70" t="s">
        <v>595</v>
      </c>
      <c r="M326" s="38" t="s">
        <v>648</v>
      </c>
      <c r="N326" s="26">
        <v>1</v>
      </c>
      <c r="O326" s="57">
        <v>16071</v>
      </c>
      <c r="P326" s="62">
        <f t="shared" si="4"/>
        <v>16071</v>
      </c>
      <c r="Q326" s="6" t="s">
        <v>395</v>
      </c>
      <c r="R326" s="6" t="s">
        <v>770</v>
      </c>
      <c r="S326" s="38">
        <v>311000000</v>
      </c>
      <c r="T326" s="26">
        <v>30</v>
      </c>
    </row>
    <row r="327" spans="2:20" ht="51">
      <c r="B327" s="6">
        <v>311</v>
      </c>
      <c r="C327" s="36" t="s">
        <v>714</v>
      </c>
      <c r="D327" s="37" t="s">
        <v>715</v>
      </c>
      <c r="E327" s="6" t="s">
        <v>968</v>
      </c>
      <c r="F327" s="70" t="s">
        <v>2192</v>
      </c>
      <c r="G327" s="70" t="s">
        <v>13</v>
      </c>
      <c r="H327" s="70" t="s">
        <v>2195</v>
      </c>
      <c r="I327" s="70" t="s">
        <v>969</v>
      </c>
      <c r="J327" s="70" t="s">
        <v>2192</v>
      </c>
      <c r="K327" s="70" t="s">
        <v>13</v>
      </c>
      <c r="L327" s="70" t="s">
        <v>595</v>
      </c>
      <c r="M327" s="38" t="s">
        <v>648</v>
      </c>
      <c r="N327" s="26">
        <v>3</v>
      </c>
      <c r="O327" s="57">
        <v>2679</v>
      </c>
      <c r="P327" s="62">
        <f t="shared" si="4"/>
        <v>8037</v>
      </c>
      <c r="Q327" s="6" t="s">
        <v>395</v>
      </c>
      <c r="R327" s="6" t="s">
        <v>770</v>
      </c>
      <c r="S327" s="38">
        <v>311000000</v>
      </c>
      <c r="T327" s="26">
        <v>30</v>
      </c>
    </row>
    <row r="328" spans="2:20" ht="51">
      <c r="B328" s="6">
        <v>312</v>
      </c>
      <c r="C328" s="36" t="s">
        <v>714</v>
      </c>
      <c r="D328" s="37" t="s">
        <v>715</v>
      </c>
      <c r="E328" s="6" t="s">
        <v>420</v>
      </c>
      <c r="F328" s="70" t="s">
        <v>2232</v>
      </c>
      <c r="G328" s="70" t="s">
        <v>421</v>
      </c>
      <c r="H328" s="70" t="s">
        <v>2233</v>
      </c>
      <c r="I328" s="70" t="s">
        <v>422</v>
      </c>
      <c r="J328" s="70" t="s">
        <v>2232</v>
      </c>
      <c r="K328" s="70" t="s">
        <v>383</v>
      </c>
      <c r="L328" s="70" t="s">
        <v>595</v>
      </c>
      <c r="M328" s="38" t="s">
        <v>648</v>
      </c>
      <c r="N328" s="26">
        <v>1</v>
      </c>
      <c r="O328" s="57">
        <v>16071</v>
      </c>
      <c r="P328" s="62">
        <f t="shared" si="4"/>
        <v>16071</v>
      </c>
      <c r="Q328" s="6" t="s">
        <v>395</v>
      </c>
      <c r="R328" s="6" t="s">
        <v>770</v>
      </c>
      <c r="S328" s="38">
        <v>311000000</v>
      </c>
      <c r="T328" s="26">
        <v>30</v>
      </c>
    </row>
    <row r="329" spans="2:20" ht="51">
      <c r="B329" s="6">
        <v>313</v>
      </c>
      <c r="C329" s="16" t="s">
        <v>714</v>
      </c>
      <c r="D329" s="37" t="s">
        <v>715</v>
      </c>
      <c r="E329" s="6" t="s">
        <v>1010</v>
      </c>
      <c r="F329" s="70" t="s">
        <v>2086</v>
      </c>
      <c r="G329" s="70" t="s">
        <v>1011</v>
      </c>
      <c r="H329" s="70" t="s">
        <v>2087</v>
      </c>
      <c r="I329" s="70" t="s">
        <v>1012</v>
      </c>
      <c r="J329" s="70" t="s">
        <v>2086</v>
      </c>
      <c r="K329" s="70" t="s">
        <v>384</v>
      </c>
      <c r="L329" s="70" t="s">
        <v>595</v>
      </c>
      <c r="M329" s="38" t="s">
        <v>648</v>
      </c>
      <c r="N329" s="26">
        <v>1</v>
      </c>
      <c r="O329" s="57">
        <v>1786</v>
      </c>
      <c r="P329" s="62">
        <f t="shared" si="4"/>
        <v>1786</v>
      </c>
      <c r="Q329" s="6" t="s">
        <v>395</v>
      </c>
      <c r="R329" s="6" t="s">
        <v>770</v>
      </c>
      <c r="S329" s="38">
        <v>311000000</v>
      </c>
      <c r="T329" s="26">
        <v>30</v>
      </c>
    </row>
    <row r="330" spans="2:20" ht="63.75">
      <c r="B330" s="6">
        <v>314</v>
      </c>
      <c r="C330" s="36" t="s">
        <v>714</v>
      </c>
      <c r="D330" s="37" t="s">
        <v>715</v>
      </c>
      <c r="E330" s="6" t="s">
        <v>807</v>
      </c>
      <c r="F330" s="70" t="s">
        <v>808</v>
      </c>
      <c r="G330" s="70" t="s">
        <v>368</v>
      </c>
      <c r="H330" s="70" t="s">
        <v>809</v>
      </c>
      <c r="I330" s="70" t="s">
        <v>810</v>
      </c>
      <c r="J330" s="70" t="s">
        <v>808</v>
      </c>
      <c r="K330" s="70" t="s">
        <v>368</v>
      </c>
      <c r="L330" s="70" t="s">
        <v>595</v>
      </c>
      <c r="M330" s="38" t="s">
        <v>648</v>
      </c>
      <c r="N330" s="26">
        <v>5</v>
      </c>
      <c r="O330" s="57">
        <v>1200</v>
      </c>
      <c r="P330" s="62">
        <f t="shared" si="4"/>
        <v>6000</v>
      </c>
      <c r="Q330" s="6" t="s">
        <v>397</v>
      </c>
      <c r="R330" s="6" t="s">
        <v>398</v>
      </c>
      <c r="S330" s="38">
        <v>431000000</v>
      </c>
      <c r="T330" s="26">
        <v>100</v>
      </c>
    </row>
    <row r="331" spans="2:20" ht="25.5">
      <c r="B331" s="6">
        <v>315</v>
      </c>
      <c r="C331" s="16" t="s">
        <v>714</v>
      </c>
      <c r="D331" s="37" t="s">
        <v>715</v>
      </c>
      <c r="E331" s="12" t="s">
        <v>811</v>
      </c>
      <c r="F331" s="70" t="s">
        <v>1602</v>
      </c>
      <c r="G331" s="70" t="s">
        <v>2387</v>
      </c>
      <c r="H331" s="70" t="s">
        <v>1603</v>
      </c>
      <c r="I331" s="70" t="s">
        <v>812</v>
      </c>
      <c r="J331" s="70" t="s">
        <v>1604</v>
      </c>
      <c r="K331" s="70" t="s">
        <v>5</v>
      </c>
      <c r="L331" s="70" t="s">
        <v>595</v>
      </c>
      <c r="M331" s="38" t="s">
        <v>648</v>
      </c>
      <c r="N331" s="26">
        <v>2</v>
      </c>
      <c r="O331" s="57">
        <v>3000</v>
      </c>
      <c r="P331" s="62">
        <f t="shared" si="4"/>
        <v>6000</v>
      </c>
      <c r="Q331" s="6" t="s">
        <v>397</v>
      </c>
      <c r="R331" s="6" t="s">
        <v>398</v>
      </c>
      <c r="S331" s="38">
        <v>431000000</v>
      </c>
      <c r="T331" s="26">
        <v>100</v>
      </c>
    </row>
    <row r="332" spans="2:20" ht="51">
      <c r="B332" s="6">
        <v>316</v>
      </c>
      <c r="C332" s="36" t="s">
        <v>714</v>
      </c>
      <c r="D332" s="37" t="s">
        <v>715</v>
      </c>
      <c r="E332" s="12" t="s">
        <v>956</v>
      </c>
      <c r="F332" s="70" t="s">
        <v>2178</v>
      </c>
      <c r="G332" s="70" t="s">
        <v>957</v>
      </c>
      <c r="H332" s="70" t="s">
        <v>2178</v>
      </c>
      <c r="I332" s="70" t="s">
        <v>957</v>
      </c>
      <c r="J332" s="70" t="s">
        <v>6</v>
      </c>
      <c r="K332" s="70" t="s">
        <v>6</v>
      </c>
      <c r="L332" s="70" t="s">
        <v>595</v>
      </c>
      <c r="M332" s="38" t="s">
        <v>648</v>
      </c>
      <c r="N332" s="26">
        <v>4</v>
      </c>
      <c r="O332" s="57">
        <v>3125</v>
      </c>
      <c r="P332" s="62">
        <f t="shared" si="4"/>
        <v>12500</v>
      </c>
      <c r="Q332" s="6" t="s">
        <v>397</v>
      </c>
      <c r="R332" s="6" t="s">
        <v>770</v>
      </c>
      <c r="S332" s="38">
        <v>431000000</v>
      </c>
      <c r="T332" s="26">
        <v>100</v>
      </c>
    </row>
    <row r="333" spans="2:20" ht="25.5">
      <c r="B333" s="6">
        <v>317</v>
      </c>
      <c r="C333" s="36" t="s">
        <v>714</v>
      </c>
      <c r="D333" s="37" t="s">
        <v>715</v>
      </c>
      <c r="E333" s="6" t="s">
        <v>638</v>
      </c>
      <c r="F333" s="70" t="s">
        <v>817</v>
      </c>
      <c r="G333" s="70" t="s">
        <v>369</v>
      </c>
      <c r="H333" s="70" t="s">
        <v>818</v>
      </c>
      <c r="I333" s="70" t="s">
        <v>639</v>
      </c>
      <c r="J333" s="70" t="s">
        <v>817</v>
      </c>
      <c r="K333" s="70" t="s">
        <v>369</v>
      </c>
      <c r="L333" s="70" t="s">
        <v>595</v>
      </c>
      <c r="M333" s="38" t="s">
        <v>648</v>
      </c>
      <c r="N333" s="26">
        <v>2</v>
      </c>
      <c r="O333" s="57">
        <v>223</v>
      </c>
      <c r="P333" s="62">
        <f t="shared" si="4"/>
        <v>446</v>
      </c>
      <c r="Q333" s="6" t="s">
        <v>397</v>
      </c>
      <c r="R333" s="6" t="s">
        <v>398</v>
      </c>
      <c r="S333" s="38">
        <v>431000000</v>
      </c>
      <c r="T333" s="26">
        <v>100</v>
      </c>
    </row>
    <row r="334" spans="2:20" ht="76.5">
      <c r="B334" s="6">
        <v>318</v>
      </c>
      <c r="C334" s="16" t="s">
        <v>714</v>
      </c>
      <c r="D334" s="37" t="s">
        <v>715</v>
      </c>
      <c r="E334" s="6" t="s">
        <v>958</v>
      </c>
      <c r="F334" s="70" t="s">
        <v>1007</v>
      </c>
      <c r="G334" s="70" t="s">
        <v>370</v>
      </c>
      <c r="H334" s="70" t="s">
        <v>2179</v>
      </c>
      <c r="I334" s="70" t="s">
        <v>959</v>
      </c>
      <c r="J334" s="70" t="s">
        <v>1007</v>
      </c>
      <c r="K334" s="70" t="s">
        <v>370</v>
      </c>
      <c r="L334" s="70" t="s">
        <v>595</v>
      </c>
      <c r="M334" s="38" t="s">
        <v>648</v>
      </c>
      <c r="N334" s="26">
        <v>2</v>
      </c>
      <c r="O334" s="57">
        <v>313</v>
      </c>
      <c r="P334" s="62">
        <f t="shared" si="4"/>
        <v>626</v>
      </c>
      <c r="Q334" s="6" t="s">
        <v>397</v>
      </c>
      <c r="R334" s="6" t="s">
        <v>398</v>
      </c>
      <c r="S334" s="38">
        <v>431000000</v>
      </c>
      <c r="T334" s="26">
        <v>100</v>
      </c>
    </row>
    <row r="335" spans="2:20" ht="102">
      <c r="B335" s="6">
        <v>319</v>
      </c>
      <c r="C335" s="36" t="s">
        <v>714</v>
      </c>
      <c r="D335" s="37" t="s">
        <v>715</v>
      </c>
      <c r="E335" s="6" t="s">
        <v>640</v>
      </c>
      <c r="F335" s="70" t="s">
        <v>819</v>
      </c>
      <c r="G335" s="70" t="s">
        <v>371</v>
      </c>
      <c r="H335" s="70" t="s">
        <v>820</v>
      </c>
      <c r="I335" s="70" t="s">
        <v>641</v>
      </c>
      <c r="J335" s="70" t="s">
        <v>819</v>
      </c>
      <c r="K335" s="70" t="s">
        <v>371</v>
      </c>
      <c r="L335" s="70" t="s">
        <v>595</v>
      </c>
      <c r="M335" s="38" t="s">
        <v>648</v>
      </c>
      <c r="N335" s="26">
        <v>1</v>
      </c>
      <c r="O335" s="57">
        <v>14286</v>
      </c>
      <c r="P335" s="62">
        <f t="shared" si="4"/>
        <v>14286</v>
      </c>
      <c r="Q335" s="6" t="s">
        <v>397</v>
      </c>
      <c r="R335" s="6" t="s">
        <v>398</v>
      </c>
      <c r="S335" s="38">
        <v>431000000</v>
      </c>
      <c r="T335" s="26">
        <v>100</v>
      </c>
    </row>
    <row r="336" spans="2:20" ht="25.5">
      <c r="B336" s="6">
        <v>320</v>
      </c>
      <c r="C336" s="36" t="s">
        <v>714</v>
      </c>
      <c r="D336" s="37" t="s">
        <v>715</v>
      </c>
      <c r="E336" s="6" t="s">
        <v>643</v>
      </c>
      <c r="F336" s="70" t="s">
        <v>2180</v>
      </c>
      <c r="G336" s="70" t="s">
        <v>372</v>
      </c>
      <c r="H336" s="70" t="s">
        <v>821</v>
      </c>
      <c r="I336" s="70" t="s">
        <v>644</v>
      </c>
      <c r="J336" s="70" t="s">
        <v>2180</v>
      </c>
      <c r="K336" s="70" t="s">
        <v>372</v>
      </c>
      <c r="L336" s="70" t="s">
        <v>595</v>
      </c>
      <c r="M336" s="38" t="s">
        <v>648</v>
      </c>
      <c r="N336" s="26">
        <v>1</v>
      </c>
      <c r="O336" s="57">
        <v>1786</v>
      </c>
      <c r="P336" s="62">
        <f t="shared" si="4"/>
        <v>1786</v>
      </c>
      <c r="Q336" s="6" t="s">
        <v>397</v>
      </c>
      <c r="R336" s="6" t="s">
        <v>398</v>
      </c>
      <c r="S336" s="38">
        <v>431000000</v>
      </c>
      <c r="T336" s="26">
        <v>100</v>
      </c>
    </row>
    <row r="337" spans="2:20" ht="25.5">
      <c r="B337" s="6">
        <v>321</v>
      </c>
      <c r="C337" s="36" t="s">
        <v>714</v>
      </c>
      <c r="D337" s="37" t="s">
        <v>715</v>
      </c>
      <c r="E337" s="6" t="s">
        <v>399</v>
      </c>
      <c r="F337" s="70" t="s">
        <v>822</v>
      </c>
      <c r="G337" s="70" t="s">
        <v>373</v>
      </c>
      <c r="H337" s="70" t="s">
        <v>823</v>
      </c>
      <c r="I337" s="70" t="s">
        <v>400</v>
      </c>
      <c r="J337" s="70" t="s">
        <v>822</v>
      </c>
      <c r="K337" s="70" t="s">
        <v>373</v>
      </c>
      <c r="L337" s="70" t="s">
        <v>595</v>
      </c>
      <c r="M337" s="6" t="s">
        <v>673</v>
      </c>
      <c r="N337" s="26">
        <v>5</v>
      </c>
      <c r="O337" s="57">
        <v>156</v>
      </c>
      <c r="P337" s="62">
        <f t="shared" ref="P337:P400" si="5">N337*O337</f>
        <v>780</v>
      </c>
      <c r="Q337" s="6" t="s">
        <v>397</v>
      </c>
      <c r="R337" s="6" t="s">
        <v>398</v>
      </c>
      <c r="S337" s="38">
        <v>431000000</v>
      </c>
      <c r="T337" s="26">
        <v>100</v>
      </c>
    </row>
    <row r="338" spans="2:20" ht="114.75">
      <c r="B338" s="6">
        <v>322</v>
      </c>
      <c r="C338" s="16" t="s">
        <v>714</v>
      </c>
      <c r="D338" s="37" t="s">
        <v>715</v>
      </c>
      <c r="E338" s="6" t="s">
        <v>1083</v>
      </c>
      <c r="F338" s="70" t="s">
        <v>374</v>
      </c>
      <c r="G338" s="70" t="s">
        <v>374</v>
      </c>
      <c r="H338" s="70" t="s">
        <v>1629</v>
      </c>
      <c r="I338" s="70" t="s">
        <v>1084</v>
      </c>
      <c r="J338" s="70" t="s">
        <v>193</v>
      </c>
      <c r="K338" s="70" t="s">
        <v>374</v>
      </c>
      <c r="L338" s="70" t="s">
        <v>595</v>
      </c>
      <c r="M338" s="6" t="s">
        <v>655</v>
      </c>
      <c r="N338" s="26">
        <v>50</v>
      </c>
      <c r="O338" s="57">
        <v>179</v>
      </c>
      <c r="P338" s="62">
        <f t="shared" si="5"/>
        <v>8950</v>
      </c>
      <c r="Q338" s="6" t="s">
        <v>397</v>
      </c>
      <c r="R338" s="6" t="s">
        <v>398</v>
      </c>
      <c r="S338" s="38">
        <v>431000000</v>
      </c>
      <c r="T338" s="26">
        <v>100</v>
      </c>
    </row>
    <row r="339" spans="2:20" ht="89.25">
      <c r="B339" s="6">
        <v>323</v>
      </c>
      <c r="C339" s="36" t="s">
        <v>714</v>
      </c>
      <c r="D339" s="37" t="s">
        <v>715</v>
      </c>
      <c r="E339" s="6" t="s">
        <v>649</v>
      </c>
      <c r="F339" s="70" t="s">
        <v>824</v>
      </c>
      <c r="G339" s="70" t="s">
        <v>10</v>
      </c>
      <c r="H339" s="70" t="s">
        <v>825</v>
      </c>
      <c r="I339" s="70" t="s">
        <v>650</v>
      </c>
      <c r="J339" s="70" t="s">
        <v>824</v>
      </c>
      <c r="K339" s="70" t="s">
        <v>10</v>
      </c>
      <c r="L339" s="70" t="s">
        <v>595</v>
      </c>
      <c r="M339" s="38" t="s">
        <v>648</v>
      </c>
      <c r="N339" s="26">
        <v>2</v>
      </c>
      <c r="O339" s="57">
        <v>1339</v>
      </c>
      <c r="P339" s="62">
        <f t="shared" si="5"/>
        <v>2678</v>
      </c>
      <c r="Q339" s="6" t="s">
        <v>397</v>
      </c>
      <c r="R339" s="6" t="s">
        <v>398</v>
      </c>
      <c r="S339" s="38">
        <v>431000000</v>
      </c>
      <c r="T339" s="26">
        <v>100</v>
      </c>
    </row>
    <row r="340" spans="2:20" ht="25.5">
      <c r="B340" s="6">
        <v>324</v>
      </c>
      <c r="C340" s="16" t="s">
        <v>714</v>
      </c>
      <c r="D340" s="37" t="s">
        <v>715</v>
      </c>
      <c r="E340" s="6" t="s">
        <v>401</v>
      </c>
      <c r="F340" s="70" t="s">
        <v>2185</v>
      </c>
      <c r="G340" s="70" t="s">
        <v>199</v>
      </c>
      <c r="H340" s="70" t="s">
        <v>2235</v>
      </c>
      <c r="I340" s="70" t="s">
        <v>402</v>
      </c>
      <c r="J340" s="70" t="s">
        <v>2185</v>
      </c>
      <c r="K340" s="70" t="s">
        <v>199</v>
      </c>
      <c r="L340" s="70" t="s">
        <v>595</v>
      </c>
      <c r="M340" s="38" t="s">
        <v>648</v>
      </c>
      <c r="N340" s="26">
        <v>4</v>
      </c>
      <c r="O340" s="57">
        <v>2232</v>
      </c>
      <c r="P340" s="62">
        <f t="shared" si="5"/>
        <v>8928</v>
      </c>
      <c r="Q340" s="6" t="s">
        <v>397</v>
      </c>
      <c r="R340" s="6" t="s">
        <v>398</v>
      </c>
      <c r="S340" s="38">
        <v>431000000</v>
      </c>
      <c r="T340" s="26">
        <v>100</v>
      </c>
    </row>
    <row r="341" spans="2:20" ht="38.25">
      <c r="B341" s="6">
        <v>325</v>
      </c>
      <c r="C341" s="16" t="s">
        <v>714</v>
      </c>
      <c r="D341" s="37" t="s">
        <v>715</v>
      </c>
      <c r="E341" s="6" t="s">
        <v>653</v>
      </c>
      <c r="F341" s="70" t="s">
        <v>1633</v>
      </c>
      <c r="G341" s="70" t="s">
        <v>375</v>
      </c>
      <c r="H341" s="70" t="s">
        <v>1635</v>
      </c>
      <c r="I341" s="70" t="s">
        <v>654</v>
      </c>
      <c r="J341" s="70" t="s">
        <v>1633</v>
      </c>
      <c r="K341" s="70" t="s">
        <v>375</v>
      </c>
      <c r="L341" s="70" t="s">
        <v>595</v>
      </c>
      <c r="M341" s="6" t="s">
        <v>655</v>
      </c>
      <c r="N341" s="26">
        <v>2</v>
      </c>
      <c r="O341" s="57">
        <v>446</v>
      </c>
      <c r="P341" s="62">
        <f t="shared" si="5"/>
        <v>892</v>
      </c>
      <c r="Q341" s="6" t="s">
        <v>397</v>
      </c>
      <c r="R341" s="6" t="s">
        <v>398</v>
      </c>
      <c r="S341" s="38">
        <v>431000000</v>
      </c>
      <c r="T341" s="26">
        <v>100</v>
      </c>
    </row>
    <row r="342" spans="2:20" ht="38.25">
      <c r="B342" s="6">
        <v>326</v>
      </c>
      <c r="C342" s="36" t="s">
        <v>714</v>
      </c>
      <c r="D342" s="37" t="s">
        <v>715</v>
      </c>
      <c r="E342" s="6" t="s">
        <v>404</v>
      </c>
      <c r="F342" s="70" t="s">
        <v>2226</v>
      </c>
      <c r="G342" s="70" t="s">
        <v>405</v>
      </c>
      <c r="H342" s="70" t="s">
        <v>2228</v>
      </c>
      <c r="I342" s="70" t="s">
        <v>406</v>
      </c>
      <c r="J342" s="70" t="s">
        <v>1637</v>
      </c>
      <c r="K342" s="70" t="s">
        <v>376</v>
      </c>
      <c r="L342" s="70" t="s">
        <v>595</v>
      </c>
      <c r="M342" s="38" t="s">
        <v>648</v>
      </c>
      <c r="N342" s="26">
        <v>50</v>
      </c>
      <c r="O342" s="57">
        <v>1000</v>
      </c>
      <c r="P342" s="62">
        <f t="shared" si="5"/>
        <v>50000</v>
      </c>
      <c r="Q342" s="6" t="s">
        <v>397</v>
      </c>
      <c r="R342" s="6" t="s">
        <v>398</v>
      </c>
      <c r="S342" s="38">
        <v>431000000</v>
      </c>
      <c r="T342" s="26">
        <v>100</v>
      </c>
    </row>
    <row r="343" spans="2:20" ht="25.5">
      <c r="B343" s="6">
        <v>327</v>
      </c>
      <c r="C343" s="16" t="s">
        <v>714</v>
      </c>
      <c r="D343" s="37" t="s">
        <v>715</v>
      </c>
      <c r="E343" s="6" t="s">
        <v>407</v>
      </c>
      <c r="F343" s="70" t="s">
        <v>11</v>
      </c>
      <c r="G343" s="70" t="s">
        <v>11</v>
      </c>
      <c r="H343" s="70" t="s">
        <v>408</v>
      </c>
      <c r="I343" s="70" t="s">
        <v>408</v>
      </c>
      <c r="J343" s="70" t="s">
        <v>11</v>
      </c>
      <c r="K343" s="70" t="s">
        <v>11</v>
      </c>
      <c r="L343" s="70" t="s">
        <v>595</v>
      </c>
      <c r="M343" s="6" t="s">
        <v>1486</v>
      </c>
      <c r="N343" s="26">
        <v>25</v>
      </c>
      <c r="O343" s="57">
        <v>800</v>
      </c>
      <c r="P343" s="62">
        <f t="shared" si="5"/>
        <v>20000</v>
      </c>
      <c r="Q343" s="6" t="s">
        <v>397</v>
      </c>
      <c r="R343" s="6" t="s">
        <v>398</v>
      </c>
      <c r="S343" s="38">
        <v>431000000</v>
      </c>
      <c r="T343" s="26">
        <v>100</v>
      </c>
    </row>
    <row r="344" spans="2:20" ht="25.5">
      <c r="B344" s="6">
        <v>328</v>
      </c>
      <c r="C344" s="36" t="s">
        <v>714</v>
      </c>
      <c r="D344" s="37" t="s">
        <v>715</v>
      </c>
      <c r="E344" s="6" t="s">
        <v>409</v>
      </c>
      <c r="F344" s="70" t="s">
        <v>2201</v>
      </c>
      <c r="G344" s="70" t="s">
        <v>410</v>
      </c>
      <c r="H344" s="70" t="s">
        <v>2202</v>
      </c>
      <c r="I344" s="70" t="s">
        <v>411</v>
      </c>
      <c r="J344" s="70" t="s">
        <v>771</v>
      </c>
      <c r="K344" s="70" t="s">
        <v>377</v>
      </c>
      <c r="L344" s="70" t="s">
        <v>595</v>
      </c>
      <c r="M344" s="6" t="s">
        <v>655</v>
      </c>
      <c r="N344" s="26">
        <v>2</v>
      </c>
      <c r="O344" s="57">
        <v>714</v>
      </c>
      <c r="P344" s="62">
        <f t="shared" si="5"/>
        <v>1428</v>
      </c>
      <c r="Q344" s="6" t="s">
        <v>397</v>
      </c>
      <c r="R344" s="6" t="s">
        <v>398</v>
      </c>
      <c r="S344" s="38">
        <v>431000000</v>
      </c>
      <c r="T344" s="26">
        <v>100</v>
      </c>
    </row>
    <row r="345" spans="2:20" ht="51">
      <c r="B345" s="6">
        <v>329</v>
      </c>
      <c r="C345" s="36" t="s">
        <v>714</v>
      </c>
      <c r="D345" s="37" t="s">
        <v>715</v>
      </c>
      <c r="E345" s="6" t="s">
        <v>412</v>
      </c>
      <c r="F345" s="70" t="s">
        <v>378</v>
      </c>
      <c r="G345" s="70" t="s">
        <v>378</v>
      </c>
      <c r="H345" s="70" t="s">
        <v>2297</v>
      </c>
      <c r="I345" s="70" t="s">
        <v>413</v>
      </c>
      <c r="J345" s="70" t="s">
        <v>378</v>
      </c>
      <c r="K345" s="70" t="s">
        <v>198</v>
      </c>
      <c r="L345" s="70" t="s">
        <v>595</v>
      </c>
      <c r="M345" s="38" t="s">
        <v>648</v>
      </c>
      <c r="N345" s="26">
        <v>25</v>
      </c>
      <c r="O345" s="57">
        <v>67</v>
      </c>
      <c r="P345" s="62">
        <f t="shared" si="5"/>
        <v>1675</v>
      </c>
      <c r="Q345" s="6" t="s">
        <v>397</v>
      </c>
      <c r="R345" s="6" t="s">
        <v>770</v>
      </c>
      <c r="S345" s="38">
        <v>431000000</v>
      </c>
      <c r="T345" s="26">
        <v>100</v>
      </c>
    </row>
    <row r="346" spans="2:20" ht="38.25">
      <c r="B346" s="6">
        <v>330</v>
      </c>
      <c r="C346" s="36" t="s">
        <v>714</v>
      </c>
      <c r="D346" s="37" t="s">
        <v>715</v>
      </c>
      <c r="E346" s="6" t="s">
        <v>664</v>
      </c>
      <c r="F346" s="70" t="s">
        <v>836</v>
      </c>
      <c r="G346" s="70" t="s">
        <v>12</v>
      </c>
      <c r="H346" s="70" t="s">
        <v>1645</v>
      </c>
      <c r="I346" s="70" t="s">
        <v>665</v>
      </c>
      <c r="J346" s="70" t="s">
        <v>836</v>
      </c>
      <c r="K346" s="70" t="s">
        <v>12</v>
      </c>
      <c r="L346" s="70" t="s">
        <v>595</v>
      </c>
      <c r="M346" s="38" t="s">
        <v>648</v>
      </c>
      <c r="N346" s="26">
        <v>5</v>
      </c>
      <c r="O346" s="57">
        <v>1339</v>
      </c>
      <c r="P346" s="62">
        <f t="shared" si="5"/>
        <v>6695</v>
      </c>
      <c r="Q346" s="6" t="s">
        <v>397</v>
      </c>
      <c r="R346" s="6" t="s">
        <v>398</v>
      </c>
      <c r="S346" s="38">
        <v>431000000</v>
      </c>
      <c r="T346" s="26">
        <v>100</v>
      </c>
    </row>
    <row r="347" spans="2:20" ht="51">
      <c r="B347" s="6">
        <v>331</v>
      </c>
      <c r="C347" s="36" t="s">
        <v>714</v>
      </c>
      <c r="D347" s="37" t="s">
        <v>715</v>
      </c>
      <c r="E347" s="6" t="s">
        <v>414</v>
      </c>
      <c r="F347" s="70" t="s">
        <v>837</v>
      </c>
      <c r="G347" s="70" t="s">
        <v>379</v>
      </c>
      <c r="H347" s="70" t="s">
        <v>2281</v>
      </c>
      <c r="I347" s="70" t="s">
        <v>415</v>
      </c>
      <c r="J347" s="70" t="s">
        <v>2281</v>
      </c>
      <c r="K347" s="70" t="s">
        <v>379</v>
      </c>
      <c r="L347" s="70" t="s">
        <v>595</v>
      </c>
      <c r="M347" s="38" t="s">
        <v>648</v>
      </c>
      <c r="N347" s="26">
        <v>5</v>
      </c>
      <c r="O347" s="57">
        <v>2000</v>
      </c>
      <c r="P347" s="62">
        <f t="shared" si="5"/>
        <v>10000</v>
      </c>
      <c r="Q347" s="6" t="s">
        <v>397</v>
      </c>
      <c r="R347" s="6" t="s">
        <v>770</v>
      </c>
      <c r="S347" s="38">
        <v>431000000</v>
      </c>
      <c r="T347" s="26">
        <v>100</v>
      </c>
    </row>
    <row r="348" spans="2:20" ht="25.5">
      <c r="B348" s="6">
        <v>332</v>
      </c>
      <c r="C348" s="36" t="s">
        <v>714</v>
      </c>
      <c r="D348" s="37" t="s">
        <v>715</v>
      </c>
      <c r="E348" s="6" t="s">
        <v>666</v>
      </c>
      <c r="F348" s="70" t="s">
        <v>2245</v>
      </c>
      <c r="G348" s="70" t="s">
        <v>667</v>
      </c>
      <c r="H348" s="70" t="s">
        <v>2246</v>
      </c>
      <c r="I348" s="70" t="s">
        <v>2248</v>
      </c>
      <c r="J348" s="70" t="s">
        <v>2247</v>
      </c>
      <c r="K348" s="70" t="s">
        <v>380</v>
      </c>
      <c r="L348" s="70" t="s">
        <v>595</v>
      </c>
      <c r="M348" s="6" t="s">
        <v>1487</v>
      </c>
      <c r="N348" s="26">
        <v>1</v>
      </c>
      <c r="O348" s="57">
        <v>26786</v>
      </c>
      <c r="P348" s="62">
        <f t="shared" si="5"/>
        <v>26786</v>
      </c>
      <c r="Q348" s="6" t="s">
        <v>397</v>
      </c>
      <c r="R348" s="6" t="s">
        <v>398</v>
      </c>
      <c r="S348" s="38">
        <v>431000000</v>
      </c>
      <c r="T348" s="26">
        <v>100</v>
      </c>
    </row>
    <row r="349" spans="2:20" ht="51">
      <c r="B349" s="6">
        <v>333</v>
      </c>
      <c r="C349" s="36" t="s">
        <v>714</v>
      </c>
      <c r="D349" s="37" t="s">
        <v>715</v>
      </c>
      <c r="E349" s="6" t="s">
        <v>416</v>
      </c>
      <c r="F349" s="70" t="s">
        <v>839</v>
      </c>
      <c r="G349" s="70" t="s">
        <v>381</v>
      </c>
      <c r="H349" s="70" t="s">
        <v>840</v>
      </c>
      <c r="I349" s="70" t="s">
        <v>417</v>
      </c>
      <c r="J349" s="70" t="s">
        <v>2305</v>
      </c>
      <c r="K349" s="70" t="s">
        <v>381</v>
      </c>
      <c r="L349" s="70" t="s">
        <v>595</v>
      </c>
      <c r="M349" s="38" t="s">
        <v>648</v>
      </c>
      <c r="N349" s="26">
        <v>1</v>
      </c>
      <c r="O349" s="57">
        <v>26786</v>
      </c>
      <c r="P349" s="62">
        <f t="shared" si="5"/>
        <v>26786</v>
      </c>
      <c r="Q349" s="6" t="s">
        <v>397</v>
      </c>
      <c r="R349" s="6" t="s">
        <v>770</v>
      </c>
      <c r="S349" s="38">
        <v>431000000</v>
      </c>
      <c r="T349" s="26">
        <v>100</v>
      </c>
    </row>
    <row r="350" spans="2:20" ht="127.5">
      <c r="B350" s="6">
        <v>334</v>
      </c>
      <c r="C350" s="36" t="s">
        <v>714</v>
      </c>
      <c r="D350" s="37" t="s">
        <v>715</v>
      </c>
      <c r="E350" s="6" t="s">
        <v>418</v>
      </c>
      <c r="F350" s="70" t="s">
        <v>2192</v>
      </c>
      <c r="G350" s="70" t="s">
        <v>13</v>
      </c>
      <c r="H350" s="70" t="s">
        <v>2194</v>
      </c>
      <c r="I350" s="70" t="s">
        <v>419</v>
      </c>
      <c r="J350" s="70" t="s">
        <v>2192</v>
      </c>
      <c r="K350" s="70" t="s">
        <v>13</v>
      </c>
      <c r="L350" s="70" t="s">
        <v>595</v>
      </c>
      <c r="M350" s="38" t="s">
        <v>648</v>
      </c>
      <c r="N350" s="26">
        <v>3</v>
      </c>
      <c r="O350" s="57">
        <v>6667</v>
      </c>
      <c r="P350" s="62">
        <f t="shared" si="5"/>
        <v>20001</v>
      </c>
      <c r="Q350" s="6" t="s">
        <v>397</v>
      </c>
      <c r="R350" s="6" t="s">
        <v>398</v>
      </c>
      <c r="S350" s="38">
        <v>431000000</v>
      </c>
      <c r="T350" s="26">
        <v>100</v>
      </c>
    </row>
    <row r="351" spans="2:20" ht="25.5">
      <c r="B351" s="6">
        <v>335</v>
      </c>
      <c r="C351" s="36" t="s">
        <v>714</v>
      </c>
      <c r="D351" s="37" t="s">
        <v>715</v>
      </c>
      <c r="E351" s="6" t="s">
        <v>420</v>
      </c>
      <c r="F351" s="70" t="s">
        <v>2232</v>
      </c>
      <c r="G351" s="70" t="s">
        <v>421</v>
      </c>
      <c r="H351" s="70" t="s">
        <v>2233</v>
      </c>
      <c r="I351" s="70" t="s">
        <v>422</v>
      </c>
      <c r="J351" s="70" t="s">
        <v>2232</v>
      </c>
      <c r="K351" s="70" t="s">
        <v>383</v>
      </c>
      <c r="L351" s="70" t="s">
        <v>595</v>
      </c>
      <c r="M351" s="38" t="s">
        <v>648</v>
      </c>
      <c r="N351" s="26">
        <v>1</v>
      </c>
      <c r="O351" s="57">
        <v>16071</v>
      </c>
      <c r="P351" s="62">
        <f t="shared" si="5"/>
        <v>16071</v>
      </c>
      <c r="Q351" s="6" t="s">
        <v>397</v>
      </c>
      <c r="R351" s="6" t="s">
        <v>398</v>
      </c>
      <c r="S351" s="38">
        <v>431000000</v>
      </c>
      <c r="T351" s="26">
        <v>100</v>
      </c>
    </row>
    <row r="352" spans="2:20" ht="51">
      <c r="B352" s="6">
        <v>336</v>
      </c>
      <c r="C352" s="16" t="s">
        <v>714</v>
      </c>
      <c r="D352" s="37" t="s">
        <v>715</v>
      </c>
      <c r="E352" s="6" t="s">
        <v>1010</v>
      </c>
      <c r="F352" s="70" t="s">
        <v>2086</v>
      </c>
      <c r="G352" s="70" t="s">
        <v>1011</v>
      </c>
      <c r="H352" s="70" t="s">
        <v>2087</v>
      </c>
      <c r="I352" s="70" t="s">
        <v>1012</v>
      </c>
      <c r="J352" s="70" t="s">
        <v>2086</v>
      </c>
      <c r="K352" s="70" t="s">
        <v>384</v>
      </c>
      <c r="L352" s="70" t="s">
        <v>595</v>
      </c>
      <c r="M352" s="38" t="s">
        <v>648</v>
      </c>
      <c r="N352" s="26">
        <v>1</v>
      </c>
      <c r="O352" s="57">
        <v>1786</v>
      </c>
      <c r="P352" s="62">
        <f t="shared" si="5"/>
        <v>1786</v>
      </c>
      <c r="Q352" s="6" t="s">
        <v>397</v>
      </c>
      <c r="R352" s="6" t="s">
        <v>398</v>
      </c>
      <c r="S352" s="38">
        <v>431000000</v>
      </c>
      <c r="T352" s="26">
        <v>100</v>
      </c>
    </row>
    <row r="353" spans="2:20" s="39" customFormat="1" ht="56.25" customHeight="1">
      <c r="B353" s="6">
        <v>337</v>
      </c>
      <c r="C353" s="36" t="s">
        <v>714</v>
      </c>
      <c r="D353" s="37" t="s">
        <v>715</v>
      </c>
      <c r="E353" s="6" t="s">
        <v>807</v>
      </c>
      <c r="F353" s="70" t="s">
        <v>808</v>
      </c>
      <c r="G353" s="70" t="s">
        <v>368</v>
      </c>
      <c r="H353" s="70" t="s">
        <v>809</v>
      </c>
      <c r="I353" s="70" t="s">
        <v>810</v>
      </c>
      <c r="J353" s="70" t="s">
        <v>808</v>
      </c>
      <c r="K353" s="70" t="s">
        <v>368</v>
      </c>
      <c r="L353" s="70" t="s">
        <v>595</v>
      </c>
      <c r="M353" s="38" t="s">
        <v>648</v>
      </c>
      <c r="N353" s="26">
        <v>5</v>
      </c>
      <c r="O353" s="57">
        <v>313</v>
      </c>
      <c r="P353" s="62">
        <f t="shared" si="5"/>
        <v>1565</v>
      </c>
      <c r="Q353" s="6" t="s">
        <v>395</v>
      </c>
      <c r="R353" s="6" t="s">
        <v>395</v>
      </c>
      <c r="S353" s="38">
        <v>551000000</v>
      </c>
      <c r="T353" s="26">
        <v>100</v>
      </c>
    </row>
    <row r="354" spans="2:20" s="39" customFormat="1" ht="25.5">
      <c r="B354" s="6">
        <v>338</v>
      </c>
      <c r="C354" s="16" t="s">
        <v>714</v>
      </c>
      <c r="D354" s="37" t="s">
        <v>715</v>
      </c>
      <c r="E354" s="12" t="s">
        <v>811</v>
      </c>
      <c r="F354" s="70" t="s">
        <v>1602</v>
      </c>
      <c r="G354" s="70" t="s">
        <v>2387</v>
      </c>
      <c r="H354" s="70" t="s">
        <v>1603</v>
      </c>
      <c r="I354" s="70" t="s">
        <v>812</v>
      </c>
      <c r="J354" s="70" t="s">
        <v>1604</v>
      </c>
      <c r="K354" s="70" t="s">
        <v>5</v>
      </c>
      <c r="L354" s="70" t="s">
        <v>595</v>
      </c>
      <c r="M354" s="38" t="s">
        <v>648</v>
      </c>
      <c r="N354" s="26">
        <v>2</v>
      </c>
      <c r="O354" s="57">
        <v>714</v>
      </c>
      <c r="P354" s="62">
        <f t="shared" si="5"/>
        <v>1428</v>
      </c>
      <c r="Q354" s="6" t="s">
        <v>395</v>
      </c>
      <c r="R354" s="6" t="s">
        <v>395</v>
      </c>
      <c r="S354" s="38">
        <v>551000000</v>
      </c>
      <c r="T354" s="26">
        <v>100</v>
      </c>
    </row>
    <row r="355" spans="2:20" s="39" customFormat="1" ht="25.5">
      <c r="B355" s="6">
        <v>339</v>
      </c>
      <c r="C355" s="36" t="s">
        <v>714</v>
      </c>
      <c r="D355" s="37" t="s">
        <v>715</v>
      </c>
      <c r="E355" s="12" t="s">
        <v>956</v>
      </c>
      <c r="F355" s="70" t="s">
        <v>2178</v>
      </c>
      <c r="G355" s="70" t="s">
        <v>957</v>
      </c>
      <c r="H355" s="70" t="s">
        <v>2178</v>
      </c>
      <c r="I355" s="70" t="s">
        <v>957</v>
      </c>
      <c r="J355" s="70" t="s">
        <v>6</v>
      </c>
      <c r="K355" s="70" t="s">
        <v>6</v>
      </c>
      <c r="L355" s="70" t="s">
        <v>595</v>
      </c>
      <c r="M355" s="38" t="s">
        <v>648</v>
      </c>
      <c r="N355" s="26">
        <v>4</v>
      </c>
      <c r="O355" s="57">
        <v>3125</v>
      </c>
      <c r="P355" s="62">
        <f t="shared" si="5"/>
        <v>12500</v>
      </c>
      <c r="Q355" s="6" t="s">
        <v>395</v>
      </c>
      <c r="R355" s="6" t="s">
        <v>395</v>
      </c>
      <c r="S355" s="38">
        <v>551000000</v>
      </c>
      <c r="T355" s="26">
        <v>100</v>
      </c>
    </row>
    <row r="356" spans="2:20" s="39" customFormat="1" ht="25.5">
      <c r="B356" s="6">
        <v>340</v>
      </c>
      <c r="C356" s="36" t="s">
        <v>714</v>
      </c>
      <c r="D356" s="37" t="s">
        <v>715</v>
      </c>
      <c r="E356" s="6" t="s">
        <v>638</v>
      </c>
      <c r="F356" s="70" t="s">
        <v>817</v>
      </c>
      <c r="G356" s="70" t="s">
        <v>369</v>
      </c>
      <c r="H356" s="70" t="s">
        <v>818</v>
      </c>
      <c r="I356" s="70" t="s">
        <v>639</v>
      </c>
      <c r="J356" s="70" t="s">
        <v>817</v>
      </c>
      <c r="K356" s="70" t="s">
        <v>369</v>
      </c>
      <c r="L356" s="70" t="s">
        <v>595</v>
      </c>
      <c r="M356" s="38" t="s">
        <v>648</v>
      </c>
      <c r="N356" s="26">
        <v>2</v>
      </c>
      <c r="O356" s="57">
        <v>223</v>
      </c>
      <c r="P356" s="62">
        <f t="shared" si="5"/>
        <v>446</v>
      </c>
      <c r="Q356" s="6" t="s">
        <v>395</v>
      </c>
      <c r="R356" s="6" t="s">
        <v>395</v>
      </c>
      <c r="S356" s="38">
        <v>551000000</v>
      </c>
      <c r="T356" s="26">
        <v>100</v>
      </c>
    </row>
    <row r="357" spans="2:20" s="39" customFormat="1" ht="76.5">
      <c r="B357" s="6">
        <v>341</v>
      </c>
      <c r="C357" s="16" t="s">
        <v>714</v>
      </c>
      <c r="D357" s="37" t="s">
        <v>715</v>
      </c>
      <c r="E357" s="6" t="s">
        <v>958</v>
      </c>
      <c r="F357" s="70" t="s">
        <v>1007</v>
      </c>
      <c r="G357" s="70" t="s">
        <v>370</v>
      </c>
      <c r="H357" s="70" t="s">
        <v>2179</v>
      </c>
      <c r="I357" s="70" t="s">
        <v>959</v>
      </c>
      <c r="J357" s="70" t="s">
        <v>1007</v>
      </c>
      <c r="K357" s="70" t="s">
        <v>370</v>
      </c>
      <c r="L357" s="70" t="s">
        <v>595</v>
      </c>
      <c r="M357" s="38" t="s">
        <v>648</v>
      </c>
      <c r="N357" s="26">
        <v>2</v>
      </c>
      <c r="O357" s="57">
        <v>313</v>
      </c>
      <c r="P357" s="62">
        <f t="shared" si="5"/>
        <v>626</v>
      </c>
      <c r="Q357" s="6" t="s">
        <v>395</v>
      </c>
      <c r="R357" s="6" t="s">
        <v>395</v>
      </c>
      <c r="S357" s="38">
        <v>551000000</v>
      </c>
      <c r="T357" s="26">
        <v>100</v>
      </c>
    </row>
    <row r="358" spans="2:20" s="39" customFormat="1" ht="102">
      <c r="B358" s="6">
        <v>342</v>
      </c>
      <c r="C358" s="36" t="s">
        <v>714</v>
      </c>
      <c r="D358" s="37" t="s">
        <v>715</v>
      </c>
      <c r="E358" s="6" t="s">
        <v>640</v>
      </c>
      <c r="F358" s="70" t="s">
        <v>819</v>
      </c>
      <c r="G358" s="70" t="s">
        <v>371</v>
      </c>
      <c r="H358" s="70" t="s">
        <v>820</v>
      </c>
      <c r="I358" s="70" t="s">
        <v>641</v>
      </c>
      <c r="J358" s="70" t="s">
        <v>819</v>
      </c>
      <c r="K358" s="70" t="s">
        <v>371</v>
      </c>
      <c r="L358" s="70" t="s">
        <v>595</v>
      </c>
      <c r="M358" s="38" t="s">
        <v>648</v>
      </c>
      <c r="N358" s="26">
        <v>1</v>
      </c>
      <c r="O358" s="57">
        <v>14286</v>
      </c>
      <c r="P358" s="62">
        <f t="shared" si="5"/>
        <v>14286</v>
      </c>
      <c r="Q358" s="6" t="s">
        <v>395</v>
      </c>
      <c r="R358" s="6" t="s">
        <v>395</v>
      </c>
      <c r="S358" s="38">
        <v>551000000</v>
      </c>
      <c r="T358" s="26">
        <v>100</v>
      </c>
    </row>
    <row r="359" spans="2:20" s="39" customFormat="1" ht="25.5">
      <c r="B359" s="6">
        <v>343</v>
      </c>
      <c r="C359" s="36" t="s">
        <v>714</v>
      </c>
      <c r="D359" s="37" t="s">
        <v>715</v>
      </c>
      <c r="E359" s="6" t="s">
        <v>643</v>
      </c>
      <c r="F359" s="70" t="s">
        <v>2180</v>
      </c>
      <c r="G359" s="70" t="s">
        <v>372</v>
      </c>
      <c r="H359" s="70" t="s">
        <v>821</v>
      </c>
      <c r="I359" s="70" t="s">
        <v>644</v>
      </c>
      <c r="J359" s="70" t="s">
        <v>2180</v>
      </c>
      <c r="K359" s="70" t="s">
        <v>372</v>
      </c>
      <c r="L359" s="70" t="s">
        <v>595</v>
      </c>
      <c r="M359" s="38" t="s">
        <v>648</v>
      </c>
      <c r="N359" s="26">
        <v>1</v>
      </c>
      <c r="O359" s="57">
        <v>1786</v>
      </c>
      <c r="P359" s="62">
        <f t="shared" si="5"/>
        <v>1786</v>
      </c>
      <c r="Q359" s="6" t="s">
        <v>395</v>
      </c>
      <c r="R359" s="6" t="s">
        <v>395</v>
      </c>
      <c r="S359" s="38">
        <v>551000000</v>
      </c>
      <c r="T359" s="26">
        <v>100</v>
      </c>
    </row>
    <row r="360" spans="2:20" s="39" customFormat="1" ht="25.5">
      <c r="B360" s="6">
        <v>344</v>
      </c>
      <c r="C360" s="36" t="s">
        <v>714</v>
      </c>
      <c r="D360" s="37" t="s">
        <v>715</v>
      </c>
      <c r="E360" s="6" t="s">
        <v>891</v>
      </c>
      <c r="F360" s="70" t="s">
        <v>822</v>
      </c>
      <c r="G360" s="70" t="s">
        <v>373</v>
      </c>
      <c r="H360" s="70" t="s">
        <v>892</v>
      </c>
      <c r="I360" s="70" t="s">
        <v>892</v>
      </c>
      <c r="J360" s="70" t="s">
        <v>822</v>
      </c>
      <c r="K360" s="70" t="s">
        <v>373</v>
      </c>
      <c r="L360" s="70" t="s">
        <v>595</v>
      </c>
      <c r="M360" s="6" t="s">
        <v>673</v>
      </c>
      <c r="N360" s="26">
        <v>5</v>
      </c>
      <c r="O360" s="57">
        <v>156</v>
      </c>
      <c r="P360" s="62">
        <f t="shared" si="5"/>
        <v>780</v>
      </c>
      <c r="Q360" s="6" t="s">
        <v>395</v>
      </c>
      <c r="R360" s="6" t="s">
        <v>395</v>
      </c>
      <c r="S360" s="38">
        <v>551000000</v>
      </c>
      <c r="T360" s="26">
        <v>100</v>
      </c>
    </row>
    <row r="361" spans="2:20" s="39" customFormat="1" ht="114.75">
      <c r="B361" s="6">
        <v>345</v>
      </c>
      <c r="C361" s="16" t="s">
        <v>714</v>
      </c>
      <c r="D361" s="37" t="s">
        <v>715</v>
      </c>
      <c r="E361" s="6" t="s">
        <v>1083</v>
      </c>
      <c r="F361" s="70" t="s">
        <v>374</v>
      </c>
      <c r="G361" s="70" t="s">
        <v>374</v>
      </c>
      <c r="H361" s="70" t="s">
        <v>1629</v>
      </c>
      <c r="I361" s="70" t="s">
        <v>1084</v>
      </c>
      <c r="J361" s="70" t="s">
        <v>193</v>
      </c>
      <c r="K361" s="70" t="s">
        <v>374</v>
      </c>
      <c r="L361" s="70" t="s">
        <v>595</v>
      </c>
      <c r="M361" s="6" t="s">
        <v>655</v>
      </c>
      <c r="N361" s="26">
        <v>50</v>
      </c>
      <c r="O361" s="57">
        <v>179</v>
      </c>
      <c r="P361" s="62">
        <f t="shared" si="5"/>
        <v>8950</v>
      </c>
      <c r="Q361" s="6" t="s">
        <v>395</v>
      </c>
      <c r="R361" s="6" t="s">
        <v>395</v>
      </c>
      <c r="S361" s="38">
        <v>551000000</v>
      </c>
      <c r="T361" s="26">
        <v>100</v>
      </c>
    </row>
    <row r="362" spans="2:20" s="39" customFormat="1" ht="89.25">
      <c r="B362" s="6">
        <v>346</v>
      </c>
      <c r="C362" s="36" t="s">
        <v>714</v>
      </c>
      <c r="D362" s="37" t="s">
        <v>715</v>
      </c>
      <c r="E362" s="6" t="s">
        <v>649</v>
      </c>
      <c r="F362" s="70" t="s">
        <v>824</v>
      </c>
      <c r="G362" s="70" t="s">
        <v>10</v>
      </c>
      <c r="H362" s="70" t="s">
        <v>825</v>
      </c>
      <c r="I362" s="70" t="s">
        <v>650</v>
      </c>
      <c r="J362" s="70" t="s">
        <v>824</v>
      </c>
      <c r="K362" s="70" t="s">
        <v>10</v>
      </c>
      <c r="L362" s="70" t="s">
        <v>595</v>
      </c>
      <c r="M362" s="38" t="s">
        <v>648</v>
      </c>
      <c r="N362" s="26">
        <v>2</v>
      </c>
      <c r="O362" s="57">
        <v>1339</v>
      </c>
      <c r="P362" s="62">
        <f t="shared" si="5"/>
        <v>2678</v>
      </c>
      <c r="Q362" s="6" t="s">
        <v>395</v>
      </c>
      <c r="R362" s="6" t="s">
        <v>395</v>
      </c>
      <c r="S362" s="38">
        <v>551000000</v>
      </c>
      <c r="T362" s="26">
        <v>100</v>
      </c>
    </row>
    <row r="363" spans="2:20" s="39" customFormat="1" ht="25.5">
      <c r="B363" s="6">
        <v>347</v>
      </c>
      <c r="C363" s="16" t="s">
        <v>714</v>
      </c>
      <c r="D363" s="37" t="s">
        <v>715</v>
      </c>
      <c r="E363" s="6" t="s">
        <v>893</v>
      </c>
      <c r="F363" s="70" t="s">
        <v>2185</v>
      </c>
      <c r="G363" s="70" t="s">
        <v>199</v>
      </c>
      <c r="H363" s="70" t="s">
        <v>2186</v>
      </c>
      <c r="I363" s="70" t="s">
        <v>1381</v>
      </c>
      <c r="J363" s="70" t="s">
        <v>2185</v>
      </c>
      <c r="K363" s="70" t="s">
        <v>199</v>
      </c>
      <c r="L363" s="70" t="s">
        <v>595</v>
      </c>
      <c r="M363" s="38" t="s">
        <v>648</v>
      </c>
      <c r="N363" s="26">
        <v>4</v>
      </c>
      <c r="O363" s="57">
        <v>2232</v>
      </c>
      <c r="P363" s="62">
        <f t="shared" si="5"/>
        <v>8928</v>
      </c>
      <c r="Q363" s="6" t="s">
        <v>395</v>
      </c>
      <c r="R363" s="6" t="s">
        <v>395</v>
      </c>
      <c r="S363" s="38">
        <v>551000000</v>
      </c>
      <c r="T363" s="26">
        <v>100</v>
      </c>
    </row>
    <row r="364" spans="2:20" s="39" customFormat="1" ht="38.25">
      <c r="B364" s="6">
        <v>348</v>
      </c>
      <c r="C364" s="16" t="s">
        <v>714</v>
      </c>
      <c r="D364" s="37" t="s">
        <v>715</v>
      </c>
      <c r="E364" s="6" t="s">
        <v>653</v>
      </c>
      <c r="F364" s="70" t="s">
        <v>1633</v>
      </c>
      <c r="G364" s="70" t="s">
        <v>375</v>
      </c>
      <c r="H364" s="70" t="s">
        <v>1635</v>
      </c>
      <c r="I364" s="70" t="s">
        <v>654</v>
      </c>
      <c r="J364" s="70" t="s">
        <v>1633</v>
      </c>
      <c r="K364" s="70" t="s">
        <v>375</v>
      </c>
      <c r="L364" s="70" t="s">
        <v>595</v>
      </c>
      <c r="M364" s="6" t="s">
        <v>655</v>
      </c>
      <c r="N364" s="26">
        <v>2</v>
      </c>
      <c r="O364" s="57">
        <v>446</v>
      </c>
      <c r="P364" s="62">
        <f t="shared" si="5"/>
        <v>892</v>
      </c>
      <c r="Q364" s="6" t="s">
        <v>395</v>
      </c>
      <c r="R364" s="6" t="s">
        <v>395</v>
      </c>
      <c r="S364" s="38">
        <v>551000000</v>
      </c>
      <c r="T364" s="26">
        <v>100</v>
      </c>
    </row>
    <row r="365" spans="2:20" s="39" customFormat="1" ht="38.25">
      <c r="B365" s="6">
        <v>349</v>
      </c>
      <c r="C365" s="36" t="s">
        <v>714</v>
      </c>
      <c r="D365" s="37" t="s">
        <v>715</v>
      </c>
      <c r="E365" s="6" t="s">
        <v>656</v>
      </c>
      <c r="F365" s="70" t="s">
        <v>1637</v>
      </c>
      <c r="G365" s="70" t="s">
        <v>657</v>
      </c>
      <c r="H365" s="70" t="s">
        <v>1638</v>
      </c>
      <c r="I365" s="70" t="s">
        <v>658</v>
      </c>
      <c r="J365" s="70" t="s">
        <v>1637</v>
      </c>
      <c r="K365" s="70" t="s">
        <v>376</v>
      </c>
      <c r="L365" s="70" t="s">
        <v>595</v>
      </c>
      <c r="M365" s="38" t="s">
        <v>648</v>
      </c>
      <c r="N365" s="26">
        <v>120</v>
      </c>
      <c r="O365" s="57">
        <v>179</v>
      </c>
      <c r="P365" s="62">
        <f t="shared" si="5"/>
        <v>21480</v>
      </c>
      <c r="Q365" s="6" t="s">
        <v>395</v>
      </c>
      <c r="R365" s="6" t="s">
        <v>395</v>
      </c>
      <c r="S365" s="38">
        <v>551000000</v>
      </c>
      <c r="T365" s="26">
        <v>100</v>
      </c>
    </row>
    <row r="366" spans="2:20" s="39" customFormat="1" ht="25.5">
      <c r="B366" s="6">
        <v>350</v>
      </c>
      <c r="C366" s="16" t="s">
        <v>714</v>
      </c>
      <c r="D366" s="37" t="s">
        <v>715</v>
      </c>
      <c r="E366" s="6" t="s">
        <v>894</v>
      </c>
      <c r="F366" s="70" t="s">
        <v>11</v>
      </c>
      <c r="G366" s="70" t="s">
        <v>11</v>
      </c>
      <c r="H366" s="70" t="s">
        <v>895</v>
      </c>
      <c r="I366" s="70" t="s">
        <v>895</v>
      </c>
      <c r="J366" s="70" t="s">
        <v>11</v>
      </c>
      <c r="K366" s="70" t="s">
        <v>11</v>
      </c>
      <c r="L366" s="70" t="s">
        <v>595</v>
      </c>
      <c r="M366" s="6" t="s">
        <v>1486</v>
      </c>
      <c r="N366" s="26">
        <v>25</v>
      </c>
      <c r="O366" s="57">
        <v>313</v>
      </c>
      <c r="P366" s="62">
        <f t="shared" si="5"/>
        <v>7825</v>
      </c>
      <c r="Q366" s="6" t="s">
        <v>395</v>
      </c>
      <c r="R366" s="6" t="s">
        <v>395</v>
      </c>
      <c r="S366" s="38">
        <v>551000000</v>
      </c>
      <c r="T366" s="26">
        <v>100</v>
      </c>
    </row>
    <row r="367" spans="2:20" s="39" customFormat="1" ht="76.5">
      <c r="B367" s="6">
        <v>351</v>
      </c>
      <c r="C367" s="36" t="s">
        <v>714</v>
      </c>
      <c r="D367" s="37" t="s">
        <v>715</v>
      </c>
      <c r="E367" s="6" t="s">
        <v>660</v>
      </c>
      <c r="F367" s="70" t="s">
        <v>771</v>
      </c>
      <c r="G367" s="70" t="s">
        <v>18</v>
      </c>
      <c r="H367" s="70" t="s">
        <v>2200</v>
      </c>
      <c r="I367" s="70" t="s">
        <v>1033</v>
      </c>
      <c r="J367" s="70" t="s">
        <v>771</v>
      </c>
      <c r="K367" s="70" t="s">
        <v>377</v>
      </c>
      <c r="L367" s="70" t="s">
        <v>595</v>
      </c>
      <c r="M367" s="6" t="s">
        <v>484</v>
      </c>
      <c r="N367" s="26">
        <v>2</v>
      </c>
      <c r="O367" s="57">
        <v>714</v>
      </c>
      <c r="P367" s="62">
        <f t="shared" si="5"/>
        <v>1428</v>
      </c>
      <c r="Q367" s="6" t="s">
        <v>395</v>
      </c>
      <c r="R367" s="6" t="s">
        <v>395</v>
      </c>
      <c r="S367" s="38">
        <v>551000000</v>
      </c>
      <c r="T367" s="26">
        <v>100</v>
      </c>
    </row>
    <row r="368" spans="2:20" s="39" customFormat="1" ht="38.25">
      <c r="B368" s="6">
        <v>352</v>
      </c>
      <c r="C368" s="36" t="s">
        <v>714</v>
      </c>
      <c r="D368" s="37" t="s">
        <v>715</v>
      </c>
      <c r="E368" s="6" t="s">
        <v>662</v>
      </c>
      <c r="F368" s="70" t="s">
        <v>378</v>
      </c>
      <c r="G368" s="70" t="s">
        <v>378</v>
      </c>
      <c r="H368" s="70" t="s">
        <v>2296</v>
      </c>
      <c r="I368" s="70" t="s">
        <v>896</v>
      </c>
      <c r="J368" s="70" t="s">
        <v>378</v>
      </c>
      <c r="K368" s="70" t="s">
        <v>198</v>
      </c>
      <c r="L368" s="70" t="s">
        <v>595</v>
      </c>
      <c r="M368" s="38" t="s">
        <v>648</v>
      </c>
      <c r="N368" s="26">
        <v>25</v>
      </c>
      <c r="O368" s="57">
        <v>67</v>
      </c>
      <c r="P368" s="62">
        <f t="shared" si="5"/>
        <v>1675</v>
      </c>
      <c r="Q368" s="6" t="s">
        <v>395</v>
      </c>
      <c r="R368" s="6" t="s">
        <v>395</v>
      </c>
      <c r="S368" s="38">
        <v>551000000</v>
      </c>
      <c r="T368" s="26">
        <v>100</v>
      </c>
    </row>
    <row r="369" spans="2:20" s="39" customFormat="1" ht="38.25">
      <c r="B369" s="6">
        <v>353</v>
      </c>
      <c r="C369" s="36" t="s">
        <v>714</v>
      </c>
      <c r="D369" s="37" t="s">
        <v>715</v>
      </c>
      <c r="E369" s="6" t="s">
        <v>664</v>
      </c>
      <c r="F369" s="70" t="s">
        <v>836</v>
      </c>
      <c r="G369" s="70" t="s">
        <v>12</v>
      </c>
      <c r="H369" s="70" t="s">
        <v>1645</v>
      </c>
      <c r="I369" s="70" t="s">
        <v>665</v>
      </c>
      <c r="J369" s="70" t="s">
        <v>836</v>
      </c>
      <c r="K369" s="70" t="s">
        <v>12</v>
      </c>
      <c r="L369" s="70" t="s">
        <v>595</v>
      </c>
      <c r="M369" s="38" t="s">
        <v>648</v>
      </c>
      <c r="N369" s="26">
        <v>5</v>
      </c>
      <c r="O369" s="57">
        <v>1339</v>
      </c>
      <c r="P369" s="62">
        <f t="shared" si="5"/>
        <v>6695</v>
      </c>
      <c r="Q369" s="6" t="s">
        <v>395</v>
      </c>
      <c r="R369" s="6" t="s">
        <v>395</v>
      </c>
      <c r="S369" s="38">
        <v>551000000</v>
      </c>
      <c r="T369" s="26">
        <v>100</v>
      </c>
    </row>
    <row r="370" spans="2:20" s="39" customFormat="1" ht="25.5">
      <c r="B370" s="6">
        <v>354</v>
      </c>
      <c r="C370" s="36" t="s">
        <v>714</v>
      </c>
      <c r="D370" s="37" t="s">
        <v>715</v>
      </c>
      <c r="E370" s="6" t="s">
        <v>414</v>
      </c>
      <c r="F370" s="70" t="s">
        <v>837</v>
      </c>
      <c r="G370" s="70" t="s">
        <v>379</v>
      </c>
      <c r="H370" s="70" t="s">
        <v>2281</v>
      </c>
      <c r="I370" s="70" t="s">
        <v>415</v>
      </c>
      <c r="J370" s="70" t="s">
        <v>2281</v>
      </c>
      <c r="K370" s="70" t="s">
        <v>379</v>
      </c>
      <c r="L370" s="70" t="s">
        <v>595</v>
      </c>
      <c r="M370" s="38" t="s">
        <v>648</v>
      </c>
      <c r="N370" s="26">
        <v>5</v>
      </c>
      <c r="O370" s="57">
        <v>1071</v>
      </c>
      <c r="P370" s="62">
        <f t="shared" si="5"/>
        <v>5355</v>
      </c>
      <c r="Q370" s="6" t="s">
        <v>395</v>
      </c>
      <c r="R370" s="6" t="s">
        <v>395</v>
      </c>
      <c r="S370" s="38">
        <v>551000000</v>
      </c>
      <c r="T370" s="26">
        <v>100</v>
      </c>
    </row>
    <row r="371" spans="2:20" s="39" customFormat="1" ht="25.5">
      <c r="B371" s="6">
        <v>355</v>
      </c>
      <c r="C371" s="36" t="s">
        <v>714</v>
      </c>
      <c r="D371" s="37" t="s">
        <v>715</v>
      </c>
      <c r="E371" s="6" t="s">
        <v>666</v>
      </c>
      <c r="F371" s="70" t="s">
        <v>2245</v>
      </c>
      <c r="G371" s="70" t="s">
        <v>667</v>
      </c>
      <c r="H371" s="70" t="s">
        <v>2246</v>
      </c>
      <c r="I371" s="70" t="s">
        <v>2248</v>
      </c>
      <c r="J371" s="70" t="s">
        <v>2247</v>
      </c>
      <c r="K371" s="70" t="s">
        <v>380</v>
      </c>
      <c r="L371" s="70" t="s">
        <v>595</v>
      </c>
      <c r="M371" s="6" t="s">
        <v>1487</v>
      </c>
      <c r="N371" s="26">
        <v>1</v>
      </c>
      <c r="O371" s="57">
        <v>26786</v>
      </c>
      <c r="P371" s="62">
        <f t="shared" si="5"/>
        <v>26786</v>
      </c>
      <c r="Q371" s="6" t="s">
        <v>395</v>
      </c>
      <c r="R371" s="6" t="s">
        <v>395</v>
      </c>
      <c r="S371" s="38">
        <v>551000000</v>
      </c>
      <c r="T371" s="26">
        <v>100</v>
      </c>
    </row>
    <row r="372" spans="2:20" s="39" customFormat="1" ht="25.5">
      <c r="B372" s="6">
        <v>356</v>
      </c>
      <c r="C372" s="36" t="s">
        <v>714</v>
      </c>
      <c r="D372" s="37" t="s">
        <v>715</v>
      </c>
      <c r="E372" s="6" t="s">
        <v>670</v>
      </c>
      <c r="F372" s="70" t="s">
        <v>2302</v>
      </c>
      <c r="G372" s="70" t="s">
        <v>669</v>
      </c>
      <c r="H372" s="70" t="s">
        <v>2351</v>
      </c>
      <c r="I372" s="70" t="s">
        <v>897</v>
      </c>
      <c r="J372" s="70" t="s">
        <v>2301</v>
      </c>
      <c r="K372" s="70" t="s">
        <v>382</v>
      </c>
      <c r="L372" s="70" t="s">
        <v>595</v>
      </c>
      <c r="M372" s="38" t="s">
        <v>648</v>
      </c>
      <c r="N372" s="26">
        <v>1</v>
      </c>
      <c r="O372" s="57">
        <v>16071</v>
      </c>
      <c r="P372" s="62">
        <f t="shared" si="5"/>
        <v>16071</v>
      </c>
      <c r="Q372" s="6" t="s">
        <v>519</v>
      </c>
      <c r="R372" s="6" t="s">
        <v>616</v>
      </c>
      <c r="S372" s="38">
        <v>551000000</v>
      </c>
      <c r="T372" s="26">
        <v>100</v>
      </c>
    </row>
    <row r="373" spans="2:20" s="39" customFormat="1" ht="25.5">
      <c r="B373" s="6">
        <v>357</v>
      </c>
      <c r="C373" s="36" t="s">
        <v>714</v>
      </c>
      <c r="D373" s="37" t="s">
        <v>715</v>
      </c>
      <c r="E373" s="6" t="s">
        <v>671</v>
      </c>
      <c r="F373" s="70" t="s">
        <v>2192</v>
      </c>
      <c r="G373" s="70" t="s">
        <v>13</v>
      </c>
      <c r="H373" s="70" t="s">
        <v>2193</v>
      </c>
      <c r="I373" s="70" t="s">
        <v>672</v>
      </c>
      <c r="J373" s="70" t="s">
        <v>2192</v>
      </c>
      <c r="K373" s="70" t="s">
        <v>13</v>
      </c>
      <c r="L373" s="70" t="s">
        <v>595</v>
      </c>
      <c r="M373" s="38" t="s">
        <v>648</v>
      </c>
      <c r="N373" s="26">
        <v>3</v>
      </c>
      <c r="O373" s="57">
        <v>2679</v>
      </c>
      <c r="P373" s="62">
        <f t="shared" si="5"/>
        <v>8037</v>
      </c>
      <c r="Q373" s="6" t="s">
        <v>395</v>
      </c>
      <c r="R373" s="6" t="s">
        <v>395</v>
      </c>
      <c r="S373" s="38">
        <v>551000000</v>
      </c>
      <c r="T373" s="26">
        <v>100</v>
      </c>
    </row>
    <row r="374" spans="2:20" s="39" customFormat="1" ht="25.5">
      <c r="B374" s="6">
        <v>358</v>
      </c>
      <c r="C374" s="36" t="s">
        <v>714</v>
      </c>
      <c r="D374" s="37" t="s">
        <v>715</v>
      </c>
      <c r="E374" s="6" t="s">
        <v>420</v>
      </c>
      <c r="F374" s="70" t="s">
        <v>2232</v>
      </c>
      <c r="G374" s="70" t="s">
        <v>421</v>
      </c>
      <c r="H374" s="70" t="s">
        <v>2233</v>
      </c>
      <c r="I374" s="70" t="s">
        <v>422</v>
      </c>
      <c r="J374" s="70" t="s">
        <v>2232</v>
      </c>
      <c r="K374" s="70" t="s">
        <v>383</v>
      </c>
      <c r="L374" s="70" t="s">
        <v>595</v>
      </c>
      <c r="M374" s="38" t="s">
        <v>648</v>
      </c>
      <c r="N374" s="26">
        <v>1</v>
      </c>
      <c r="O374" s="57">
        <v>16071</v>
      </c>
      <c r="P374" s="62">
        <f t="shared" si="5"/>
        <v>16071</v>
      </c>
      <c r="Q374" s="6" t="s">
        <v>395</v>
      </c>
      <c r="R374" s="6" t="s">
        <v>395</v>
      </c>
      <c r="S374" s="38">
        <v>551000000</v>
      </c>
      <c r="T374" s="26">
        <v>100</v>
      </c>
    </row>
    <row r="375" spans="2:20" s="39" customFormat="1" ht="51">
      <c r="B375" s="6">
        <v>359</v>
      </c>
      <c r="C375" s="16" t="s">
        <v>714</v>
      </c>
      <c r="D375" s="37" t="s">
        <v>715</v>
      </c>
      <c r="E375" s="6" t="s">
        <v>1010</v>
      </c>
      <c r="F375" s="70" t="s">
        <v>2086</v>
      </c>
      <c r="G375" s="70" t="s">
        <v>1011</v>
      </c>
      <c r="H375" s="70" t="s">
        <v>2087</v>
      </c>
      <c r="I375" s="70" t="s">
        <v>1012</v>
      </c>
      <c r="J375" s="70" t="s">
        <v>2086</v>
      </c>
      <c r="K375" s="70" t="s">
        <v>384</v>
      </c>
      <c r="L375" s="70" t="s">
        <v>595</v>
      </c>
      <c r="M375" s="38" t="s">
        <v>648</v>
      </c>
      <c r="N375" s="26">
        <v>1</v>
      </c>
      <c r="O375" s="57">
        <v>1786</v>
      </c>
      <c r="P375" s="62">
        <f t="shared" si="5"/>
        <v>1786</v>
      </c>
      <c r="Q375" s="6" t="s">
        <v>395</v>
      </c>
      <c r="R375" s="6" t="s">
        <v>395</v>
      </c>
      <c r="S375" s="38">
        <v>551000000</v>
      </c>
      <c r="T375" s="26">
        <v>100</v>
      </c>
    </row>
    <row r="376" spans="2:20" ht="63.75">
      <c r="B376" s="6">
        <v>360</v>
      </c>
      <c r="C376" s="36" t="s">
        <v>714</v>
      </c>
      <c r="D376" s="37" t="s">
        <v>715</v>
      </c>
      <c r="E376" s="6" t="s">
        <v>807</v>
      </c>
      <c r="F376" s="70" t="s">
        <v>808</v>
      </c>
      <c r="G376" s="70" t="s">
        <v>368</v>
      </c>
      <c r="H376" s="70" t="s">
        <v>809</v>
      </c>
      <c r="I376" s="70" t="s">
        <v>810</v>
      </c>
      <c r="J376" s="70" t="s">
        <v>808</v>
      </c>
      <c r="K376" s="70" t="s">
        <v>368</v>
      </c>
      <c r="L376" s="70" t="s">
        <v>595</v>
      </c>
      <c r="M376" s="38" t="s">
        <v>648</v>
      </c>
      <c r="N376" s="26">
        <v>5</v>
      </c>
      <c r="O376" s="57">
        <f t="shared" ref="O376:O399" si="6">P376/N376</f>
        <v>0</v>
      </c>
      <c r="P376" s="62">
        <f>1565-1565</f>
        <v>0</v>
      </c>
      <c r="Q376" s="6" t="s">
        <v>519</v>
      </c>
      <c r="R376" s="6" t="s">
        <v>519</v>
      </c>
      <c r="S376" s="38" t="s">
        <v>2037</v>
      </c>
      <c r="T376" s="6">
        <v>30</v>
      </c>
    </row>
    <row r="377" spans="2:20" ht="25.5">
      <c r="B377" s="6">
        <v>361</v>
      </c>
      <c r="C377" s="16" t="s">
        <v>714</v>
      </c>
      <c r="D377" s="37" t="s">
        <v>715</v>
      </c>
      <c r="E377" s="12" t="s">
        <v>811</v>
      </c>
      <c r="F377" s="70" t="s">
        <v>1602</v>
      </c>
      <c r="G377" s="70" t="s">
        <v>2387</v>
      </c>
      <c r="H377" s="70" t="s">
        <v>1603</v>
      </c>
      <c r="I377" s="70" t="s">
        <v>812</v>
      </c>
      <c r="J377" s="70" t="s">
        <v>1604</v>
      </c>
      <c r="K377" s="70" t="s">
        <v>5</v>
      </c>
      <c r="L377" s="70" t="s">
        <v>595</v>
      </c>
      <c r="M377" s="38" t="s">
        <v>648</v>
      </c>
      <c r="N377" s="26">
        <v>2</v>
      </c>
      <c r="O377" s="57">
        <f t="shared" si="6"/>
        <v>0</v>
      </c>
      <c r="P377" s="62">
        <f>1428-1428</f>
        <v>0</v>
      </c>
      <c r="Q377" s="6" t="s">
        <v>519</v>
      </c>
      <c r="R377" s="6" t="s">
        <v>519</v>
      </c>
      <c r="S377" s="38" t="s">
        <v>2037</v>
      </c>
      <c r="T377" s="6">
        <v>30</v>
      </c>
    </row>
    <row r="378" spans="2:20" ht="76.5">
      <c r="B378" s="6">
        <v>362</v>
      </c>
      <c r="C378" s="36" t="s">
        <v>714</v>
      </c>
      <c r="D378" s="37" t="s">
        <v>715</v>
      </c>
      <c r="E378" s="6" t="s">
        <v>813</v>
      </c>
      <c r="F378" s="70" t="s">
        <v>814</v>
      </c>
      <c r="G378" s="70" t="s">
        <v>6</v>
      </c>
      <c r="H378" s="70" t="s">
        <v>815</v>
      </c>
      <c r="I378" s="70" t="s">
        <v>816</v>
      </c>
      <c r="J378" s="70" t="s">
        <v>6</v>
      </c>
      <c r="K378" s="70" t="s">
        <v>6</v>
      </c>
      <c r="L378" s="70" t="s">
        <v>595</v>
      </c>
      <c r="M378" s="38" t="s">
        <v>648</v>
      </c>
      <c r="N378" s="26">
        <v>4</v>
      </c>
      <c r="O378" s="57">
        <f t="shared" si="6"/>
        <v>0</v>
      </c>
      <c r="P378" s="62">
        <f>12500-12500</f>
        <v>0</v>
      </c>
      <c r="Q378" s="6" t="s">
        <v>519</v>
      </c>
      <c r="R378" s="6" t="s">
        <v>519</v>
      </c>
      <c r="S378" s="38" t="s">
        <v>2037</v>
      </c>
      <c r="T378" s="6">
        <v>30</v>
      </c>
    </row>
    <row r="379" spans="2:20" ht="25.5">
      <c r="B379" s="6">
        <v>363</v>
      </c>
      <c r="C379" s="36" t="s">
        <v>714</v>
      </c>
      <c r="D379" s="37" t="s">
        <v>715</v>
      </c>
      <c r="E379" s="6" t="s">
        <v>638</v>
      </c>
      <c r="F379" s="70" t="s">
        <v>817</v>
      </c>
      <c r="G379" s="70" t="s">
        <v>369</v>
      </c>
      <c r="H379" s="70" t="s">
        <v>818</v>
      </c>
      <c r="I379" s="70" t="s">
        <v>639</v>
      </c>
      <c r="J379" s="70" t="s">
        <v>817</v>
      </c>
      <c r="K379" s="70" t="s">
        <v>369</v>
      </c>
      <c r="L379" s="70" t="s">
        <v>595</v>
      </c>
      <c r="M379" s="38" t="s">
        <v>648</v>
      </c>
      <c r="N379" s="26">
        <v>2</v>
      </c>
      <c r="O379" s="57">
        <f t="shared" si="6"/>
        <v>0</v>
      </c>
      <c r="P379" s="62">
        <f>446-446</f>
        <v>0</v>
      </c>
      <c r="Q379" s="6" t="s">
        <v>519</v>
      </c>
      <c r="R379" s="6" t="s">
        <v>519</v>
      </c>
      <c r="S379" s="38" t="s">
        <v>2037</v>
      </c>
      <c r="T379" s="6">
        <v>30</v>
      </c>
    </row>
    <row r="380" spans="2:20" ht="76.5">
      <c r="B380" s="6">
        <v>364</v>
      </c>
      <c r="C380" s="16" t="s">
        <v>714</v>
      </c>
      <c r="D380" s="37" t="s">
        <v>715</v>
      </c>
      <c r="E380" s="6" t="s">
        <v>958</v>
      </c>
      <c r="F380" s="70" t="s">
        <v>1007</v>
      </c>
      <c r="G380" s="70" t="s">
        <v>370</v>
      </c>
      <c r="H380" s="70" t="s">
        <v>2179</v>
      </c>
      <c r="I380" s="70" t="s">
        <v>959</v>
      </c>
      <c r="J380" s="70" t="s">
        <v>1007</v>
      </c>
      <c r="K380" s="70" t="s">
        <v>370</v>
      </c>
      <c r="L380" s="70" t="s">
        <v>595</v>
      </c>
      <c r="M380" s="38" t="s">
        <v>648</v>
      </c>
      <c r="N380" s="26">
        <v>2</v>
      </c>
      <c r="O380" s="57">
        <f t="shared" si="6"/>
        <v>0</v>
      </c>
      <c r="P380" s="62">
        <f>626-626</f>
        <v>0</v>
      </c>
      <c r="Q380" s="6" t="s">
        <v>519</v>
      </c>
      <c r="R380" s="6" t="s">
        <v>519</v>
      </c>
      <c r="S380" s="38" t="s">
        <v>2037</v>
      </c>
      <c r="T380" s="6">
        <v>30</v>
      </c>
    </row>
    <row r="381" spans="2:20" ht="102">
      <c r="B381" s="6">
        <v>365</v>
      </c>
      <c r="C381" s="36" t="s">
        <v>714</v>
      </c>
      <c r="D381" s="37" t="s">
        <v>715</v>
      </c>
      <c r="E381" s="6" t="s">
        <v>640</v>
      </c>
      <c r="F381" s="70" t="s">
        <v>819</v>
      </c>
      <c r="G381" s="70" t="s">
        <v>371</v>
      </c>
      <c r="H381" s="70" t="s">
        <v>820</v>
      </c>
      <c r="I381" s="70" t="s">
        <v>641</v>
      </c>
      <c r="J381" s="70" t="s">
        <v>819</v>
      </c>
      <c r="K381" s="70" t="s">
        <v>371</v>
      </c>
      <c r="L381" s="70" t="s">
        <v>595</v>
      </c>
      <c r="M381" s="38" t="s">
        <v>648</v>
      </c>
      <c r="N381" s="26">
        <v>1</v>
      </c>
      <c r="O381" s="57">
        <f t="shared" si="6"/>
        <v>0</v>
      </c>
      <c r="P381" s="62">
        <f>14286-14286</f>
        <v>0</v>
      </c>
      <c r="Q381" s="6" t="s">
        <v>519</v>
      </c>
      <c r="R381" s="6" t="s">
        <v>519</v>
      </c>
      <c r="S381" s="38" t="s">
        <v>2037</v>
      </c>
      <c r="T381" s="6">
        <v>30</v>
      </c>
    </row>
    <row r="382" spans="2:20" ht="25.5">
      <c r="B382" s="6">
        <v>366</v>
      </c>
      <c r="C382" s="36" t="s">
        <v>714</v>
      </c>
      <c r="D382" s="37" t="s">
        <v>715</v>
      </c>
      <c r="E382" s="6" t="s">
        <v>643</v>
      </c>
      <c r="F382" s="70" t="s">
        <v>2180</v>
      </c>
      <c r="G382" s="70" t="s">
        <v>372</v>
      </c>
      <c r="H382" s="70" t="s">
        <v>821</v>
      </c>
      <c r="I382" s="70" t="s">
        <v>644</v>
      </c>
      <c r="J382" s="70" t="s">
        <v>2180</v>
      </c>
      <c r="K382" s="70" t="s">
        <v>372</v>
      </c>
      <c r="L382" s="70" t="s">
        <v>595</v>
      </c>
      <c r="M382" s="38" t="s">
        <v>648</v>
      </c>
      <c r="N382" s="26">
        <v>1</v>
      </c>
      <c r="O382" s="57">
        <f t="shared" si="6"/>
        <v>0</v>
      </c>
      <c r="P382" s="62">
        <f>1786-1786</f>
        <v>0</v>
      </c>
      <c r="Q382" s="6" t="s">
        <v>519</v>
      </c>
      <c r="R382" s="6" t="s">
        <v>519</v>
      </c>
      <c r="S382" s="38" t="s">
        <v>2037</v>
      </c>
      <c r="T382" s="6">
        <v>30</v>
      </c>
    </row>
    <row r="383" spans="2:20" ht="25.5">
      <c r="B383" s="6">
        <v>367</v>
      </c>
      <c r="C383" s="36" t="s">
        <v>714</v>
      </c>
      <c r="D383" s="37" t="s">
        <v>715</v>
      </c>
      <c r="E383" s="6" t="s">
        <v>399</v>
      </c>
      <c r="F383" s="70" t="s">
        <v>822</v>
      </c>
      <c r="G383" s="70" t="s">
        <v>373</v>
      </c>
      <c r="H383" s="70" t="s">
        <v>823</v>
      </c>
      <c r="I383" s="70" t="s">
        <v>400</v>
      </c>
      <c r="J383" s="70" t="s">
        <v>822</v>
      </c>
      <c r="K383" s="70" t="s">
        <v>373</v>
      </c>
      <c r="L383" s="70" t="s">
        <v>595</v>
      </c>
      <c r="M383" s="6" t="s">
        <v>673</v>
      </c>
      <c r="N383" s="26">
        <v>5</v>
      </c>
      <c r="O383" s="57">
        <f t="shared" si="6"/>
        <v>0</v>
      </c>
      <c r="P383" s="62">
        <f>780-780</f>
        <v>0</v>
      </c>
      <c r="Q383" s="6" t="s">
        <v>616</v>
      </c>
      <c r="R383" s="6" t="s">
        <v>616</v>
      </c>
      <c r="S383" s="38" t="s">
        <v>2037</v>
      </c>
      <c r="T383" s="6">
        <v>30</v>
      </c>
    </row>
    <row r="384" spans="2:20" ht="114.75">
      <c r="B384" s="6">
        <v>368</v>
      </c>
      <c r="C384" s="16" t="s">
        <v>714</v>
      </c>
      <c r="D384" s="37" t="s">
        <v>715</v>
      </c>
      <c r="E384" s="6" t="s">
        <v>1083</v>
      </c>
      <c r="F384" s="70" t="s">
        <v>374</v>
      </c>
      <c r="G384" s="70" t="s">
        <v>374</v>
      </c>
      <c r="H384" s="70" t="s">
        <v>1629</v>
      </c>
      <c r="I384" s="70" t="s">
        <v>1084</v>
      </c>
      <c r="J384" s="70" t="s">
        <v>193</v>
      </c>
      <c r="K384" s="70" t="s">
        <v>374</v>
      </c>
      <c r="L384" s="70" t="s">
        <v>595</v>
      </c>
      <c r="M384" s="6" t="s">
        <v>655</v>
      </c>
      <c r="N384" s="26">
        <v>50</v>
      </c>
      <c r="O384" s="57">
        <f t="shared" si="6"/>
        <v>0</v>
      </c>
      <c r="P384" s="62">
        <f>8950-8950</f>
        <v>0</v>
      </c>
      <c r="Q384" s="6" t="s">
        <v>616</v>
      </c>
      <c r="R384" s="6" t="s">
        <v>616</v>
      </c>
      <c r="S384" s="38" t="s">
        <v>2037</v>
      </c>
      <c r="T384" s="6">
        <v>30</v>
      </c>
    </row>
    <row r="385" spans="2:20" ht="89.25">
      <c r="B385" s="6">
        <v>369</v>
      </c>
      <c r="C385" s="36" t="s">
        <v>714</v>
      </c>
      <c r="D385" s="37" t="s">
        <v>715</v>
      </c>
      <c r="E385" s="6" t="s">
        <v>649</v>
      </c>
      <c r="F385" s="70" t="s">
        <v>824</v>
      </c>
      <c r="G385" s="70" t="s">
        <v>10</v>
      </c>
      <c r="H385" s="70" t="s">
        <v>825</v>
      </c>
      <c r="I385" s="70" t="s">
        <v>650</v>
      </c>
      <c r="J385" s="70" t="s">
        <v>824</v>
      </c>
      <c r="K385" s="70" t="s">
        <v>10</v>
      </c>
      <c r="L385" s="70" t="s">
        <v>595</v>
      </c>
      <c r="M385" s="38" t="s">
        <v>648</v>
      </c>
      <c r="N385" s="26">
        <v>2</v>
      </c>
      <c r="O385" s="57">
        <f t="shared" si="6"/>
        <v>0</v>
      </c>
      <c r="P385" s="62">
        <f>2678-2678</f>
        <v>0</v>
      </c>
      <c r="Q385" s="6" t="s">
        <v>616</v>
      </c>
      <c r="R385" s="6" t="s">
        <v>616</v>
      </c>
      <c r="S385" s="38" t="s">
        <v>2037</v>
      </c>
      <c r="T385" s="6">
        <v>30</v>
      </c>
    </row>
    <row r="386" spans="2:20" ht="25.5">
      <c r="B386" s="6">
        <v>370</v>
      </c>
      <c r="C386" s="16" t="s">
        <v>714</v>
      </c>
      <c r="D386" s="37" t="s">
        <v>715</v>
      </c>
      <c r="E386" s="6" t="s">
        <v>893</v>
      </c>
      <c r="F386" s="70" t="s">
        <v>2185</v>
      </c>
      <c r="G386" s="70" t="s">
        <v>199</v>
      </c>
      <c r="H386" s="70" t="s">
        <v>2186</v>
      </c>
      <c r="I386" s="70" t="s">
        <v>1381</v>
      </c>
      <c r="J386" s="70" t="s">
        <v>2185</v>
      </c>
      <c r="K386" s="70" t="s">
        <v>199</v>
      </c>
      <c r="L386" s="70" t="s">
        <v>595</v>
      </c>
      <c r="M386" s="38" t="s">
        <v>648</v>
      </c>
      <c r="N386" s="26">
        <v>4</v>
      </c>
      <c r="O386" s="57">
        <f t="shared" si="6"/>
        <v>0</v>
      </c>
      <c r="P386" s="62">
        <f>8928-8928</f>
        <v>0</v>
      </c>
      <c r="Q386" s="6" t="s">
        <v>616</v>
      </c>
      <c r="R386" s="6" t="s">
        <v>616</v>
      </c>
      <c r="S386" s="38" t="s">
        <v>2037</v>
      </c>
      <c r="T386" s="6">
        <v>30</v>
      </c>
    </row>
    <row r="387" spans="2:20" ht="38.25">
      <c r="B387" s="6">
        <v>371</v>
      </c>
      <c r="C387" s="16" t="s">
        <v>714</v>
      </c>
      <c r="D387" s="37" t="s">
        <v>715</v>
      </c>
      <c r="E387" s="6" t="s">
        <v>653</v>
      </c>
      <c r="F387" s="70" t="s">
        <v>1633</v>
      </c>
      <c r="G387" s="70" t="s">
        <v>375</v>
      </c>
      <c r="H387" s="70" t="s">
        <v>1635</v>
      </c>
      <c r="I387" s="70" t="s">
        <v>654</v>
      </c>
      <c r="J387" s="70" t="s">
        <v>1633</v>
      </c>
      <c r="K387" s="70" t="s">
        <v>375</v>
      </c>
      <c r="L387" s="70" t="s">
        <v>595</v>
      </c>
      <c r="M387" s="6" t="s">
        <v>655</v>
      </c>
      <c r="N387" s="26">
        <v>2</v>
      </c>
      <c r="O387" s="57">
        <f t="shared" si="6"/>
        <v>0</v>
      </c>
      <c r="P387" s="62">
        <f>892-892</f>
        <v>0</v>
      </c>
      <c r="Q387" s="6" t="s">
        <v>616</v>
      </c>
      <c r="R387" s="6" t="s">
        <v>616</v>
      </c>
      <c r="S387" s="38" t="s">
        <v>2037</v>
      </c>
      <c r="T387" s="6">
        <v>30</v>
      </c>
    </row>
    <row r="388" spans="2:20" ht="38.25">
      <c r="B388" s="6">
        <v>372</v>
      </c>
      <c r="C388" s="36" t="s">
        <v>714</v>
      </c>
      <c r="D388" s="37" t="s">
        <v>715</v>
      </c>
      <c r="E388" s="6" t="s">
        <v>829</v>
      </c>
      <c r="F388" s="70" t="s">
        <v>830</v>
      </c>
      <c r="G388" s="70" t="s">
        <v>376</v>
      </c>
      <c r="H388" s="70" t="s">
        <v>831</v>
      </c>
      <c r="I388" s="70" t="s">
        <v>832</v>
      </c>
      <c r="J388" s="70" t="s">
        <v>1637</v>
      </c>
      <c r="K388" s="70" t="s">
        <v>376</v>
      </c>
      <c r="L388" s="70" t="s">
        <v>595</v>
      </c>
      <c r="M388" s="38" t="s">
        <v>648</v>
      </c>
      <c r="N388" s="26">
        <f>50+200</f>
        <v>250</v>
      </c>
      <c r="O388" s="57">
        <f t="shared" si="6"/>
        <v>163.80000000000001</v>
      </c>
      <c r="P388" s="62">
        <f>8950+32000</f>
        <v>40950</v>
      </c>
      <c r="Q388" s="6" t="s">
        <v>616</v>
      </c>
      <c r="R388" s="6" t="s">
        <v>616</v>
      </c>
      <c r="S388" s="38" t="s">
        <v>2037</v>
      </c>
      <c r="T388" s="6">
        <v>30</v>
      </c>
    </row>
    <row r="389" spans="2:20" ht="25.5">
      <c r="B389" s="6">
        <v>373</v>
      </c>
      <c r="C389" s="16" t="s">
        <v>714</v>
      </c>
      <c r="D389" s="37" t="s">
        <v>715</v>
      </c>
      <c r="E389" s="38" t="s">
        <v>833</v>
      </c>
      <c r="F389" s="70" t="s">
        <v>11</v>
      </c>
      <c r="G389" s="70" t="s">
        <v>11</v>
      </c>
      <c r="H389" s="70" t="s">
        <v>834</v>
      </c>
      <c r="I389" s="70" t="s">
        <v>834</v>
      </c>
      <c r="J389" s="70" t="s">
        <v>11</v>
      </c>
      <c r="K389" s="70" t="s">
        <v>11</v>
      </c>
      <c r="L389" s="70" t="s">
        <v>595</v>
      </c>
      <c r="M389" s="6" t="s">
        <v>1486</v>
      </c>
      <c r="N389" s="26">
        <v>25</v>
      </c>
      <c r="O389" s="57">
        <f t="shared" si="6"/>
        <v>0</v>
      </c>
      <c r="P389" s="62">
        <f>7825-1108-6717</f>
        <v>0</v>
      </c>
      <c r="Q389" s="6" t="s">
        <v>616</v>
      </c>
      <c r="R389" s="6" t="s">
        <v>616</v>
      </c>
      <c r="S389" s="38" t="s">
        <v>2037</v>
      </c>
      <c r="T389" s="6">
        <v>30</v>
      </c>
    </row>
    <row r="390" spans="2:20" ht="93" customHeight="1">
      <c r="B390" s="6">
        <v>374</v>
      </c>
      <c r="C390" s="36" t="s">
        <v>714</v>
      </c>
      <c r="D390" s="37" t="s">
        <v>715</v>
      </c>
      <c r="E390" s="11" t="s">
        <v>846</v>
      </c>
      <c r="F390" s="70" t="s">
        <v>771</v>
      </c>
      <c r="G390" s="70" t="s">
        <v>18</v>
      </c>
      <c r="H390" s="70" t="s">
        <v>2200</v>
      </c>
      <c r="I390" s="70" t="s">
        <v>1033</v>
      </c>
      <c r="J390" s="70" t="s">
        <v>771</v>
      </c>
      <c r="K390" s="70" t="s">
        <v>377</v>
      </c>
      <c r="L390" s="70" t="s">
        <v>595</v>
      </c>
      <c r="M390" s="6" t="s">
        <v>648</v>
      </c>
      <c r="N390" s="26">
        <v>2</v>
      </c>
      <c r="O390" s="57">
        <f t="shared" si="6"/>
        <v>0</v>
      </c>
      <c r="P390" s="62">
        <f>1428-1428</f>
        <v>0</v>
      </c>
      <c r="Q390" s="6" t="s">
        <v>519</v>
      </c>
      <c r="R390" s="6" t="s">
        <v>943</v>
      </c>
      <c r="S390" s="38" t="s">
        <v>2037</v>
      </c>
      <c r="T390" s="6">
        <v>30</v>
      </c>
    </row>
    <row r="391" spans="2:20" ht="25.5">
      <c r="B391" s="6">
        <v>375</v>
      </c>
      <c r="C391" s="36" t="s">
        <v>714</v>
      </c>
      <c r="D391" s="37" t="s">
        <v>715</v>
      </c>
      <c r="E391" s="6" t="s">
        <v>2398</v>
      </c>
      <c r="F391" s="70" t="s">
        <v>378</v>
      </c>
      <c r="G391" s="70" t="s">
        <v>378</v>
      </c>
      <c r="H391" s="70" t="s">
        <v>2295</v>
      </c>
      <c r="I391" s="70" t="s">
        <v>835</v>
      </c>
      <c r="J391" s="70" t="s">
        <v>378</v>
      </c>
      <c r="K391" s="70" t="s">
        <v>198</v>
      </c>
      <c r="L391" s="70" t="s">
        <v>595</v>
      </c>
      <c r="M391" s="38" t="s">
        <v>648</v>
      </c>
      <c r="N391" s="26">
        <f>25+225</f>
        <v>250</v>
      </c>
      <c r="O391" s="57">
        <f t="shared" si="6"/>
        <v>36.700000000000003</v>
      </c>
      <c r="P391" s="62">
        <f>1675+7500</f>
        <v>9175</v>
      </c>
      <c r="Q391" s="6" t="s">
        <v>616</v>
      </c>
      <c r="R391" s="6" t="s">
        <v>616</v>
      </c>
      <c r="S391" s="38" t="s">
        <v>2037</v>
      </c>
      <c r="T391" s="6">
        <v>30</v>
      </c>
    </row>
    <row r="392" spans="2:20" ht="38.25">
      <c r="B392" s="6">
        <v>376</v>
      </c>
      <c r="C392" s="36" t="s">
        <v>714</v>
      </c>
      <c r="D392" s="37" t="s">
        <v>715</v>
      </c>
      <c r="E392" s="38" t="s">
        <v>664</v>
      </c>
      <c r="F392" s="70" t="s">
        <v>836</v>
      </c>
      <c r="G392" s="70" t="s">
        <v>12</v>
      </c>
      <c r="H392" s="70" t="s">
        <v>1645</v>
      </c>
      <c r="I392" s="70" t="s">
        <v>665</v>
      </c>
      <c r="J392" s="70" t="s">
        <v>836</v>
      </c>
      <c r="K392" s="70" t="s">
        <v>12</v>
      </c>
      <c r="L392" s="70" t="s">
        <v>595</v>
      </c>
      <c r="M392" s="38" t="s">
        <v>648</v>
      </c>
      <c r="N392" s="26">
        <v>5</v>
      </c>
      <c r="O392" s="57">
        <f t="shared" si="6"/>
        <v>0</v>
      </c>
      <c r="P392" s="62">
        <f>6695-6695</f>
        <v>0</v>
      </c>
      <c r="Q392" s="6" t="s">
        <v>616</v>
      </c>
      <c r="R392" s="6" t="s">
        <v>616</v>
      </c>
      <c r="S392" s="38" t="s">
        <v>2037</v>
      </c>
      <c r="T392" s="6">
        <v>30</v>
      </c>
    </row>
    <row r="393" spans="2:20" ht="25.5">
      <c r="B393" s="6">
        <v>377</v>
      </c>
      <c r="C393" s="36" t="s">
        <v>714</v>
      </c>
      <c r="D393" s="37" t="s">
        <v>715</v>
      </c>
      <c r="E393" s="6" t="s">
        <v>414</v>
      </c>
      <c r="F393" s="70" t="s">
        <v>837</v>
      </c>
      <c r="G393" s="70" t="s">
        <v>379</v>
      </c>
      <c r="H393" s="70" t="s">
        <v>2281</v>
      </c>
      <c r="I393" s="70" t="s">
        <v>415</v>
      </c>
      <c r="J393" s="70" t="s">
        <v>2281</v>
      </c>
      <c r="K393" s="70" t="s">
        <v>379</v>
      </c>
      <c r="L393" s="70" t="s">
        <v>595</v>
      </c>
      <c r="M393" s="38" t="s">
        <v>648</v>
      </c>
      <c r="N393" s="26">
        <v>5</v>
      </c>
      <c r="O393" s="57">
        <f t="shared" si="6"/>
        <v>0</v>
      </c>
      <c r="P393" s="62">
        <f>5355-5355</f>
        <v>0</v>
      </c>
      <c r="Q393" s="6" t="s">
        <v>616</v>
      </c>
      <c r="R393" s="6" t="s">
        <v>616</v>
      </c>
      <c r="S393" s="38" t="s">
        <v>2037</v>
      </c>
      <c r="T393" s="6">
        <v>30</v>
      </c>
    </row>
    <row r="394" spans="2:20" ht="25.5">
      <c r="B394" s="6">
        <v>378</v>
      </c>
      <c r="C394" s="36" t="s">
        <v>714</v>
      </c>
      <c r="D394" s="37" t="s">
        <v>715</v>
      </c>
      <c r="E394" s="6" t="s">
        <v>666</v>
      </c>
      <c r="F394" s="70" t="s">
        <v>2245</v>
      </c>
      <c r="G394" s="70" t="s">
        <v>667</v>
      </c>
      <c r="H394" s="70" t="s">
        <v>2246</v>
      </c>
      <c r="I394" s="70" t="s">
        <v>2248</v>
      </c>
      <c r="J394" s="70" t="s">
        <v>2247</v>
      </c>
      <c r="K394" s="70" t="s">
        <v>380</v>
      </c>
      <c r="L394" s="70" t="s">
        <v>595</v>
      </c>
      <c r="M394" s="6" t="s">
        <v>1487</v>
      </c>
      <c r="N394" s="26">
        <v>1</v>
      </c>
      <c r="O394" s="57">
        <f t="shared" si="6"/>
        <v>0</v>
      </c>
      <c r="P394" s="62">
        <f>26786-19129-7657</f>
        <v>0</v>
      </c>
      <c r="Q394" s="6" t="s">
        <v>616</v>
      </c>
      <c r="R394" s="6" t="s">
        <v>616</v>
      </c>
      <c r="S394" s="38" t="s">
        <v>2037</v>
      </c>
      <c r="T394" s="6">
        <v>30</v>
      </c>
    </row>
    <row r="395" spans="2:20" ht="38.25">
      <c r="B395" s="6">
        <v>379</v>
      </c>
      <c r="C395" s="36" t="s">
        <v>714</v>
      </c>
      <c r="D395" s="37" t="s">
        <v>715</v>
      </c>
      <c r="E395" s="6" t="s">
        <v>416</v>
      </c>
      <c r="F395" s="70" t="s">
        <v>839</v>
      </c>
      <c r="G395" s="70" t="s">
        <v>381</v>
      </c>
      <c r="H395" s="70" t="s">
        <v>840</v>
      </c>
      <c r="I395" s="70" t="s">
        <v>417</v>
      </c>
      <c r="J395" s="70" t="s">
        <v>2305</v>
      </c>
      <c r="K395" s="70" t="s">
        <v>381</v>
      </c>
      <c r="L395" s="70" t="s">
        <v>595</v>
      </c>
      <c r="M395" s="38" t="s">
        <v>648</v>
      </c>
      <c r="N395" s="26">
        <v>1</v>
      </c>
      <c r="O395" s="57">
        <f t="shared" si="6"/>
        <v>0</v>
      </c>
      <c r="P395" s="62">
        <f>26786-26786</f>
        <v>0</v>
      </c>
      <c r="Q395" s="6" t="s">
        <v>616</v>
      </c>
      <c r="R395" s="6" t="s">
        <v>616</v>
      </c>
      <c r="S395" s="38" t="s">
        <v>2037</v>
      </c>
      <c r="T395" s="6">
        <v>30</v>
      </c>
    </row>
    <row r="396" spans="2:20" ht="38.25">
      <c r="B396" s="6">
        <v>380</v>
      </c>
      <c r="C396" s="36" t="s">
        <v>714</v>
      </c>
      <c r="D396" s="37" t="s">
        <v>715</v>
      </c>
      <c r="E396" s="6" t="s">
        <v>416</v>
      </c>
      <c r="F396" s="70" t="s">
        <v>839</v>
      </c>
      <c r="G396" s="70" t="s">
        <v>381</v>
      </c>
      <c r="H396" s="70" t="s">
        <v>840</v>
      </c>
      <c r="I396" s="70" t="s">
        <v>417</v>
      </c>
      <c r="J396" s="70" t="s">
        <v>2301</v>
      </c>
      <c r="K396" s="70" t="s">
        <v>382</v>
      </c>
      <c r="L396" s="70" t="s">
        <v>595</v>
      </c>
      <c r="M396" s="38" t="s">
        <v>648</v>
      </c>
      <c r="N396" s="26">
        <v>1</v>
      </c>
      <c r="O396" s="57">
        <f t="shared" si="6"/>
        <v>0</v>
      </c>
      <c r="P396" s="62">
        <f>16071-16071</f>
        <v>0</v>
      </c>
      <c r="Q396" s="6" t="s">
        <v>395</v>
      </c>
      <c r="R396" s="6" t="s">
        <v>395</v>
      </c>
      <c r="S396" s="38" t="s">
        <v>2037</v>
      </c>
      <c r="T396" s="6">
        <v>100</v>
      </c>
    </row>
    <row r="397" spans="2:20" ht="25.5">
      <c r="B397" s="6">
        <v>381</v>
      </c>
      <c r="C397" s="36" t="s">
        <v>714</v>
      </c>
      <c r="D397" s="37" t="s">
        <v>715</v>
      </c>
      <c r="E397" s="12" t="s">
        <v>671</v>
      </c>
      <c r="F397" s="70" t="s">
        <v>2192</v>
      </c>
      <c r="G397" s="70" t="s">
        <v>13</v>
      </c>
      <c r="H397" s="70" t="s">
        <v>2193</v>
      </c>
      <c r="I397" s="70" t="s">
        <v>672</v>
      </c>
      <c r="J397" s="70" t="s">
        <v>2192</v>
      </c>
      <c r="K397" s="70" t="s">
        <v>13</v>
      </c>
      <c r="L397" s="70" t="s">
        <v>595</v>
      </c>
      <c r="M397" s="38" t="s">
        <v>648</v>
      </c>
      <c r="N397" s="26">
        <v>3</v>
      </c>
      <c r="O397" s="57">
        <f t="shared" si="6"/>
        <v>0</v>
      </c>
      <c r="P397" s="62">
        <f>8037-8037</f>
        <v>0</v>
      </c>
      <c r="Q397" s="6" t="s">
        <v>519</v>
      </c>
      <c r="R397" s="6" t="s">
        <v>519</v>
      </c>
      <c r="S397" s="38" t="s">
        <v>2037</v>
      </c>
      <c r="T397" s="6">
        <v>30</v>
      </c>
    </row>
    <row r="398" spans="2:20" ht="25.5">
      <c r="B398" s="6">
        <v>382</v>
      </c>
      <c r="C398" s="36" t="s">
        <v>714</v>
      </c>
      <c r="D398" s="37" t="s">
        <v>715</v>
      </c>
      <c r="E398" s="12" t="s">
        <v>420</v>
      </c>
      <c r="F398" s="70" t="s">
        <v>2232</v>
      </c>
      <c r="G398" s="70" t="s">
        <v>421</v>
      </c>
      <c r="H398" s="70" t="s">
        <v>2233</v>
      </c>
      <c r="I398" s="70" t="s">
        <v>422</v>
      </c>
      <c r="J398" s="70" t="s">
        <v>2232</v>
      </c>
      <c r="K398" s="70" t="s">
        <v>383</v>
      </c>
      <c r="L398" s="70" t="s">
        <v>595</v>
      </c>
      <c r="M398" s="38" t="s">
        <v>648</v>
      </c>
      <c r="N398" s="26">
        <v>1</v>
      </c>
      <c r="O398" s="57">
        <f t="shared" si="6"/>
        <v>0</v>
      </c>
      <c r="P398" s="62">
        <f>16071-16071</f>
        <v>0</v>
      </c>
      <c r="Q398" s="6" t="s">
        <v>616</v>
      </c>
      <c r="R398" s="6" t="s">
        <v>616</v>
      </c>
      <c r="S398" s="38" t="s">
        <v>2037</v>
      </c>
      <c r="T398" s="6">
        <v>30</v>
      </c>
    </row>
    <row r="399" spans="2:20" ht="51">
      <c r="B399" s="6">
        <v>383</v>
      </c>
      <c r="C399" s="16" t="s">
        <v>714</v>
      </c>
      <c r="D399" s="37" t="s">
        <v>715</v>
      </c>
      <c r="E399" s="6" t="s">
        <v>1010</v>
      </c>
      <c r="F399" s="70" t="s">
        <v>2086</v>
      </c>
      <c r="G399" s="70" t="s">
        <v>1011</v>
      </c>
      <c r="H399" s="70" t="s">
        <v>2087</v>
      </c>
      <c r="I399" s="70" t="s">
        <v>1012</v>
      </c>
      <c r="J399" s="70" t="s">
        <v>2086</v>
      </c>
      <c r="K399" s="70" t="s">
        <v>384</v>
      </c>
      <c r="L399" s="70" t="s">
        <v>595</v>
      </c>
      <c r="M399" s="38" t="s">
        <v>648</v>
      </c>
      <c r="N399" s="26">
        <v>1</v>
      </c>
      <c r="O399" s="57">
        <f t="shared" si="6"/>
        <v>0</v>
      </c>
      <c r="P399" s="62">
        <f>1786-1786</f>
        <v>0</v>
      </c>
      <c r="Q399" s="6" t="s">
        <v>616</v>
      </c>
      <c r="R399" s="6" t="s">
        <v>616</v>
      </c>
      <c r="S399" s="38" t="s">
        <v>2037</v>
      </c>
      <c r="T399" s="6">
        <v>30</v>
      </c>
    </row>
    <row r="400" spans="2:20" ht="51">
      <c r="B400" s="6">
        <v>384</v>
      </c>
      <c r="C400" s="36" t="s">
        <v>714</v>
      </c>
      <c r="D400" s="37" t="s">
        <v>715</v>
      </c>
      <c r="E400" s="12" t="s">
        <v>769</v>
      </c>
      <c r="F400" s="70" t="s">
        <v>2174</v>
      </c>
      <c r="G400" s="70" t="s">
        <v>396</v>
      </c>
      <c r="H400" s="70" t="s">
        <v>1679</v>
      </c>
      <c r="I400" s="70" t="s">
        <v>1680</v>
      </c>
      <c r="J400" s="70" t="s">
        <v>1678</v>
      </c>
      <c r="K400" s="70" t="s">
        <v>99</v>
      </c>
      <c r="L400" s="70" t="s">
        <v>595</v>
      </c>
      <c r="M400" s="6" t="s">
        <v>1485</v>
      </c>
      <c r="N400" s="26">
        <v>7906</v>
      </c>
      <c r="O400" s="57">
        <v>104</v>
      </c>
      <c r="P400" s="62">
        <f t="shared" si="5"/>
        <v>822224</v>
      </c>
      <c r="Q400" s="6" t="s">
        <v>397</v>
      </c>
      <c r="R400" s="6" t="s">
        <v>770</v>
      </c>
      <c r="S400" s="38" t="s">
        <v>1179</v>
      </c>
      <c r="T400" s="26">
        <v>100</v>
      </c>
    </row>
    <row r="401" spans="1:20" ht="63.75">
      <c r="B401" s="6">
        <v>385</v>
      </c>
      <c r="C401" s="36" t="s">
        <v>714</v>
      </c>
      <c r="D401" s="37" t="s">
        <v>715</v>
      </c>
      <c r="E401" s="12" t="s">
        <v>1103</v>
      </c>
      <c r="F401" s="70" t="s">
        <v>424</v>
      </c>
      <c r="G401" s="70" t="s">
        <v>424</v>
      </c>
      <c r="H401" s="70" t="s">
        <v>1681</v>
      </c>
      <c r="I401" s="70" t="s">
        <v>1104</v>
      </c>
      <c r="J401" s="70" t="s">
        <v>16</v>
      </c>
      <c r="K401" s="70" t="s">
        <v>16</v>
      </c>
      <c r="L401" s="70" t="s">
        <v>595</v>
      </c>
      <c r="M401" s="6" t="s">
        <v>1485</v>
      </c>
      <c r="N401" s="26">
        <v>13807</v>
      </c>
      <c r="O401" s="57">
        <v>129</v>
      </c>
      <c r="P401" s="62">
        <f t="shared" ref="P401:P464" si="7">N401*O401</f>
        <v>1781103</v>
      </c>
      <c r="Q401" s="6" t="s">
        <v>397</v>
      </c>
      <c r="R401" s="6" t="s">
        <v>770</v>
      </c>
      <c r="S401" s="38" t="s">
        <v>1179</v>
      </c>
      <c r="T401" s="26">
        <v>100</v>
      </c>
    </row>
    <row r="402" spans="1:20" ht="63.75">
      <c r="A402" s="61"/>
      <c r="B402" s="6">
        <v>386</v>
      </c>
      <c r="C402" s="36" t="s">
        <v>714</v>
      </c>
      <c r="D402" s="37" t="s">
        <v>715</v>
      </c>
      <c r="E402" s="12" t="s">
        <v>423</v>
      </c>
      <c r="F402" s="70" t="s">
        <v>424</v>
      </c>
      <c r="G402" s="70" t="s">
        <v>424</v>
      </c>
      <c r="H402" s="70" t="s">
        <v>2310</v>
      </c>
      <c r="I402" s="70" t="s">
        <v>425</v>
      </c>
      <c r="J402" s="70" t="s">
        <v>16</v>
      </c>
      <c r="K402" s="70" t="s">
        <v>16</v>
      </c>
      <c r="L402" s="70" t="s">
        <v>595</v>
      </c>
      <c r="M402" s="6" t="s">
        <v>1485</v>
      </c>
      <c r="N402" s="26">
        <v>7656</v>
      </c>
      <c r="O402" s="57">
        <v>111</v>
      </c>
      <c r="P402" s="62">
        <f t="shared" si="7"/>
        <v>849816</v>
      </c>
      <c r="Q402" s="6" t="s">
        <v>397</v>
      </c>
      <c r="R402" s="6" t="s">
        <v>770</v>
      </c>
      <c r="S402" s="38" t="s">
        <v>2035</v>
      </c>
      <c r="T402" s="26">
        <v>100</v>
      </c>
    </row>
    <row r="403" spans="1:20" ht="63.75">
      <c r="B403" s="6">
        <v>387</v>
      </c>
      <c r="C403" s="36" t="s">
        <v>714</v>
      </c>
      <c r="D403" s="37" t="s">
        <v>715</v>
      </c>
      <c r="E403" s="12" t="s">
        <v>423</v>
      </c>
      <c r="F403" s="70" t="s">
        <v>424</v>
      </c>
      <c r="G403" s="70" t="s">
        <v>424</v>
      </c>
      <c r="H403" s="70" t="s">
        <v>2310</v>
      </c>
      <c r="I403" s="70" t="s">
        <v>425</v>
      </c>
      <c r="J403" s="70" t="s">
        <v>16</v>
      </c>
      <c r="K403" s="70" t="s">
        <v>16</v>
      </c>
      <c r="L403" s="70" t="s">
        <v>595</v>
      </c>
      <c r="M403" s="6" t="s">
        <v>1485</v>
      </c>
      <c r="N403" s="26">
        <v>21050</v>
      </c>
      <c r="O403" s="57">
        <v>111</v>
      </c>
      <c r="P403" s="62">
        <f t="shared" si="7"/>
        <v>2336550</v>
      </c>
      <c r="Q403" s="6" t="s">
        <v>395</v>
      </c>
      <c r="R403" s="6" t="s">
        <v>770</v>
      </c>
      <c r="S403" s="38" t="s">
        <v>2030</v>
      </c>
      <c r="T403" s="26">
        <v>100</v>
      </c>
    </row>
    <row r="404" spans="1:20" ht="63.75">
      <c r="B404" s="6">
        <v>388</v>
      </c>
      <c r="C404" s="36" t="s">
        <v>714</v>
      </c>
      <c r="D404" s="37" t="s">
        <v>715</v>
      </c>
      <c r="E404" s="12" t="s">
        <v>423</v>
      </c>
      <c r="F404" s="70" t="s">
        <v>424</v>
      </c>
      <c r="G404" s="70" t="s">
        <v>424</v>
      </c>
      <c r="H404" s="70" t="s">
        <v>2310</v>
      </c>
      <c r="I404" s="70" t="s">
        <v>425</v>
      </c>
      <c r="J404" s="70" t="s">
        <v>16</v>
      </c>
      <c r="K404" s="70" t="s">
        <v>16</v>
      </c>
      <c r="L404" s="70" t="s">
        <v>595</v>
      </c>
      <c r="M404" s="6" t="s">
        <v>1485</v>
      </c>
      <c r="N404" s="26">
        <v>7552</v>
      </c>
      <c r="O404" s="57">
        <v>111</v>
      </c>
      <c r="P404" s="62">
        <f t="shared" si="7"/>
        <v>838272</v>
      </c>
      <c r="Q404" s="6" t="s">
        <v>397</v>
      </c>
      <c r="R404" s="6" t="s">
        <v>770</v>
      </c>
      <c r="S404" s="38" t="s">
        <v>793</v>
      </c>
      <c r="T404" s="6">
        <v>100</v>
      </c>
    </row>
    <row r="405" spans="1:20" ht="63.75">
      <c r="B405" s="6">
        <v>389</v>
      </c>
      <c r="C405" s="36" t="s">
        <v>714</v>
      </c>
      <c r="D405" s="37" t="s">
        <v>715</v>
      </c>
      <c r="E405" s="12" t="s">
        <v>423</v>
      </c>
      <c r="F405" s="70" t="s">
        <v>424</v>
      </c>
      <c r="G405" s="70" t="s">
        <v>424</v>
      </c>
      <c r="H405" s="70" t="s">
        <v>2310</v>
      </c>
      <c r="I405" s="70" t="s">
        <v>425</v>
      </c>
      <c r="J405" s="70" t="s">
        <v>16</v>
      </c>
      <c r="K405" s="70" t="s">
        <v>16</v>
      </c>
      <c r="L405" s="70" t="s">
        <v>595</v>
      </c>
      <c r="M405" s="6" t="s">
        <v>1485</v>
      </c>
      <c r="N405" s="26">
        <v>7569</v>
      </c>
      <c r="O405" s="57">
        <v>111</v>
      </c>
      <c r="P405" s="62">
        <f t="shared" si="7"/>
        <v>840159</v>
      </c>
      <c r="Q405" s="6" t="s">
        <v>397</v>
      </c>
      <c r="R405" s="6" t="s">
        <v>770</v>
      </c>
      <c r="S405" s="38" t="s">
        <v>2038</v>
      </c>
      <c r="T405" s="26">
        <v>100</v>
      </c>
    </row>
    <row r="406" spans="1:20" ht="63.75">
      <c r="B406" s="6">
        <v>390</v>
      </c>
      <c r="C406" s="36" t="s">
        <v>714</v>
      </c>
      <c r="D406" s="37" t="s">
        <v>715</v>
      </c>
      <c r="E406" s="12" t="s">
        <v>423</v>
      </c>
      <c r="F406" s="70" t="s">
        <v>424</v>
      </c>
      <c r="G406" s="70" t="s">
        <v>424</v>
      </c>
      <c r="H406" s="70" t="s">
        <v>2310</v>
      </c>
      <c r="I406" s="70" t="s">
        <v>425</v>
      </c>
      <c r="J406" s="70" t="s">
        <v>16</v>
      </c>
      <c r="K406" s="70" t="s">
        <v>16</v>
      </c>
      <c r="L406" s="70" t="s">
        <v>595</v>
      </c>
      <c r="M406" s="6" t="s">
        <v>1485</v>
      </c>
      <c r="N406" s="26">
        <v>7569</v>
      </c>
      <c r="O406" s="57">
        <v>111</v>
      </c>
      <c r="P406" s="62">
        <f t="shared" si="7"/>
        <v>840159</v>
      </c>
      <c r="Q406" s="6" t="s">
        <v>397</v>
      </c>
      <c r="R406" s="6" t="s">
        <v>770</v>
      </c>
      <c r="S406" s="38" t="s">
        <v>1025</v>
      </c>
      <c r="T406" s="6">
        <v>100</v>
      </c>
    </row>
    <row r="407" spans="1:20" s="14" customFormat="1" ht="63.75">
      <c r="A407" s="17"/>
      <c r="B407" s="6">
        <v>391</v>
      </c>
      <c r="C407" s="36" t="s">
        <v>714</v>
      </c>
      <c r="D407" s="37" t="s">
        <v>715</v>
      </c>
      <c r="E407" s="12" t="s">
        <v>423</v>
      </c>
      <c r="F407" s="70" t="s">
        <v>424</v>
      </c>
      <c r="G407" s="70" t="s">
        <v>424</v>
      </c>
      <c r="H407" s="70" t="s">
        <v>2310</v>
      </c>
      <c r="I407" s="70" t="s">
        <v>425</v>
      </c>
      <c r="J407" s="70" t="s">
        <v>16</v>
      </c>
      <c r="K407" s="70" t="s">
        <v>16</v>
      </c>
      <c r="L407" s="70" t="s">
        <v>595</v>
      </c>
      <c r="M407" s="6" t="s">
        <v>1485</v>
      </c>
      <c r="N407" s="26">
        <v>7396</v>
      </c>
      <c r="O407" s="57">
        <v>111</v>
      </c>
      <c r="P407" s="62">
        <f t="shared" si="7"/>
        <v>820956</v>
      </c>
      <c r="Q407" s="6" t="s">
        <v>397</v>
      </c>
      <c r="R407" s="6" t="s">
        <v>770</v>
      </c>
      <c r="S407" s="38" t="s">
        <v>2031</v>
      </c>
      <c r="T407" s="26">
        <v>100</v>
      </c>
    </row>
    <row r="408" spans="1:20" ht="63.75">
      <c r="B408" s="6">
        <v>392</v>
      </c>
      <c r="C408" s="36" t="s">
        <v>714</v>
      </c>
      <c r="D408" s="37" t="s">
        <v>715</v>
      </c>
      <c r="E408" s="12" t="s">
        <v>423</v>
      </c>
      <c r="F408" s="70" t="s">
        <v>424</v>
      </c>
      <c r="G408" s="70" t="s">
        <v>424</v>
      </c>
      <c r="H408" s="70" t="s">
        <v>2310</v>
      </c>
      <c r="I408" s="70" t="s">
        <v>425</v>
      </c>
      <c r="J408" s="70" t="s">
        <v>16</v>
      </c>
      <c r="K408" s="70" t="s">
        <v>16</v>
      </c>
      <c r="L408" s="70" t="s">
        <v>595</v>
      </c>
      <c r="M408" s="6" t="s">
        <v>1485</v>
      </c>
      <c r="N408" s="26">
        <v>7726</v>
      </c>
      <c r="O408" s="57">
        <v>111</v>
      </c>
      <c r="P408" s="62">
        <f t="shared" si="7"/>
        <v>857586</v>
      </c>
      <c r="Q408" s="6" t="s">
        <v>397</v>
      </c>
      <c r="R408" s="6" t="s">
        <v>770</v>
      </c>
      <c r="S408" s="38" t="s">
        <v>637</v>
      </c>
      <c r="T408" s="26">
        <v>100</v>
      </c>
    </row>
    <row r="409" spans="1:20" ht="63.75">
      <c r="B409" s="6">
        <v>393</v>
      </c>
      <c r="C409" s="36" t="s">
        <v>714</v>
      </c>
      <c r="D409" s="37" t="s">
        <v>715</v>
      </c>
      <c r="E409" s="12" t="s">
        <v>423</v>
      </c>
      <c r="F409" s="70" t="s">
        <v>424</v>
      </c>
      <c r="G409" s="70" t="s">
        <v>424</v>
      </c>
      <c r="H409" s="70" t="s">
        <v>2310</v>
      </c>
      <c r="I409" s="70" t="s">
        <v>425</v>
      </c>
      <c r="J409" s="70" t="s">
        <v>16</v>
      </c>
      <c r="K409" s="70" t="s">
        <v>16</v>
      </c>
      <c r="L409" s="70" t="s">
        <v>595</v>
      </c>
      <c r="M409" s="6" t="s">
        <v>1485</v>
      </c>
      <c r="N409" s="26">
        <v>7288</v>
      </c>
      <c r="O409" s="57">
        <v>111</v>
      </c>
      <c r="P409" s="62">
        <f t="shared" si="7"/>
        <v>808968</v>
      </c>
      <c r="Q409" s="6" t="s">
        <v>397</v>
      </c>
      <c r="R409" s="6" t="s">
        <v>770</v>
      </c>
      <c r="S409" s="38">
        <v>311000000</v>
      </c>
      <c r="T409" s="26">
        <v>100</v>
      </c>
    </row>
    <row r="410" spans="1:20" ht="63.75">
      <c r="B410" s="6">
        <v>394</v>
      </c>
      <c r="C410" s="36" t="s">
        <v>714</v>
      </c>
      <c r="D410" s="37" t="s">
        <v>715</v>
      </c>
      <c r="E410" s="12" t="s">
        <v>423</v>
      </c>
      <c r="F410" s="70" t="s">
        <v>424</v>
      </c>
      <c r="G410" s="70" t="s">
        <v>424</v>
      </c>
      <c r="H410" s="70" t="s">
        <v>2310</v>
      </c>
      <c r="I410" s="70" t="s">
        <v>425</v>
      </c>
      <c r="J410" s="70" t="s">
        <v>16</v>
      </c>
      <c r="K410" s="70" t="s">
        <v>16</v>
      </c>
      <c r="L410" s="70" t="s">
        <v>595</v>
      </c>
      <c r="M410" s="6" t="s">
        <v>1485</v>
      </c>
      <c r="N410" s="26">
        <v>7569</v>
      </c>
      <c r="O410" s="57">
        <v>111</v>
      </c>
      <c r="P410" s="62">
        <f t="shared" si="7"/>
        <v>840159</v>
      </c>
      <c r="Q410" s="6" t="s">
        <v>397</v>
      </c>
      <c r="R410" s="6" t="s">
        <v>770</v>
      </c>
      <c r="S410" s="38" t="s">
        <v>2032</v>
      </c>
      <c r="T410" s="6">
        <v>100</v>
      </c>
    </row>
    <row r="411" spans="1:20" ht="63.75">
      <c r="B411" s="6">
        <v>395</v>
      </c>
      <c r="C411" s="36" t="s">
        <v>714</v>
      </c>
      <c r="D411" s="37" t="s">
        <v>715</v>
      </c>
      <c r="E411" s="12" t="s">
        <v>423</v>
      </c>
      <c r="F411" s="70" t="s">
        <v>424</v>
      </c>
      <c r="G411" s="70" t="s">
        <v>424</v>
      </c>
      <c r="H411" s="70" t="s">
        <v>2310</v>
      </c>
      <c r="I411" s="70" t="s">
        <v>425</v>
      </c>
      <c r="J411" s="70" t="s">
        <v>16</v>
      </c>
      <c r="K411" s="70" t="s">
        <v>16</v>
      </c>
      <c r="L411" s="70" t="s">
        <v>595</v>
      </c>
      <c r="M411" s="6" t="s">
        <v>1485</v>
      </c>
      <c r="N411" s="26">
        <v>7569</v>
      </c>
      <c r="O411" s="57">
        <v>111</v>
      </c>
      <c r="P411" s="62">
        <f t="shared" si="7"/>
        <v>840159</v>
      </c>
      <c r="Q411" s="6" t="s">
        <v>397</v>
      </c>
      <c r="R411" s="6" t="s">
        <v>770</v>
      </c>
      <c r="S411" s="38">
        <v>351000000</v>
      </c>
      <c r="T411" s="26">
        <v>100</v>
      </c>
    </row>
    <row r="412" spans="1:20" ht="63.75">
      <c r="B412" s="6">
        <v>396</v>
      </c>
      <c r="C412" s="36" t="s">
        <v>714</v>
      </c>
      <c r="D412" s="37" t="s">
        <v>715</v>
      </c>
      <c r="E412" s="12" t="s">
        <v>423</v>
      </c>
      <c r="F412" s="70" t="s">
        <v>424</v>
      </c>
      <c r="G412" s="70" t="s">
        <v>424</v>
      </c>
      <c r="H412" s="70" t="s">
        <v>2310</v>
      </c>
      <c r="I412" s="70" t="s">
        <v>425</v>
      </c>
      <c r="J412" s="70" t="s">
        <v>16</v>
      </c>
      <c r="K412" s="70" t="s">
        <v>16</v>
      </c>
      <c r="L412" s="70" t="s">
        <v>595</v>
      </c>
      <c r="M412" s="6" t="s">
        <v>1485</v>
      </c>
      <c r="N412" s="26">
        <v>7569</v>
      </c>
      <c r="O412" s="57">
        <v>111</v>
      </c>
      <c r="P412" s="62">
        <f t="shared" si="7"/>
        <v>840159</v>
      </c>
      <c r="Q412" s="6" t="s">
        <v>395</v>
      </c>
      <c r="R412" s="6" t="s">
        <v>770</v>
      </c>
      <c r="S412" s="38" t="s">
        <v>929</v>
      </c>
      <c r="T412" s="26">
        <v>100</v>
      </c>
    </row>
    <row r="413" spans="1:20" ht="63.75">
      <c r="B413" s="6">
        <v>397</v>
      </c>
      <c r="C413" s="36" t="s">
        <v>714</v>
      </c>
      <c r="D413" s="37" t="s">
        <v>715</v>
      </c>
      <c r="E413" s="12" t="s">
        <v>423</v>
      </c>
      <c r="F413" s="70" t="s">
        <v>424</v>
      </c>
      <c r="G413" s="70" t="s">
        <v>424</v>
      </c>
      <c r="H413" s="70" t="s">
        <v>2310</v>
      </c>
      <c r="I413" s="70" t="s">
        <v>425</v>
      </c>
      <c r="J413" s="70" t="s">
        <v>16</v>
      </c>
      <c r="K413" s="70" t="s">
        <v>16</v>
      </c>
      <c r="L413" s="70" t="s">
        <v>595</v>
      </c>
      <c r="M413" s="6" t="s">
        <v>1485</v>
      </c>
      <c r="N413" s="26">
        <v>7396</v>
      </c>
      <c r="O413" s="57">
        <v>111</v>
      </c>
      <c r="P413" s="62">
        <f t="shared" si="7"/>
        <v>820956</v>
      </c>
      <c r="Q413" s="6" t="s">
        <v>397</v>
      </c>
      <c r="R413" s="6" t="s">
        <v>770</v>
      </c>
      <c r="S413" s="38">
        <v>431000000</v>
      </c>
      <c r="T413" s="26">
        <v>30</v>
      </c>
    </row>
    <row r="414" spans="1:20" ht="63.75">
      <c r="B414" s="6">
        <v>398</v>
      </c>
      <c r="C414" s="36" t="s">
        <v>714</v>
      </c>
      <c r="D414" s="37" t="s">
        <v>715</v>
      </c>
      <c r="E414" s="12" t="s">
        <v>423</v>
      </c>
      <c r="F414" s="70" t="s">
        <v>424</v>
      </c>
      <c r="G414" s="70" t="s">
        <v>424</v>
      </c>
      <c r="H414" s="70" t="s">
        <v>2310</v>
      </c>
      <c r="I414" s="70" t="s">
        <v>425</v>
      </c>
      <c r="J414" s="70" t="s">
        <v>16</v>
      </c>
      <c r="K414" s="70" t="s">
        <v>16</v>
      </c>
      <c r="L414" s="70" t="s">
        <v>595</v>
      </c>
      <c r="M414" s="6" t="s">
        <v>1485</v>
      </c>
      <c r="N414" s="64">
        <v>7550</v>
      </c>
      <c r="O414" s="57">
        <v>107</v>
      </c>
      <c r="P414" s="62">
        <f t="shared" si="7"/>
        <v>807850</v>
      </c>
      <c r="Q414" s="6" t="s">
        <v>397</v>
      </c>
      <c r="R414" s="6" t="s">
        <v>770</v>
      </c>
      <c r="S414" s="38" t="s">
        <v>719</v>
      </c>
      <c r="T414" s="26">
        <v>100</v>
      </c>
    </row>
    <row r="415" spans="1:20" s="39" customFormat="1" ht="63.75">
      <c r="B415" s="6">
        <v>399</v>
      </c>
      <c r="C415" s="36" t="s">
        <v>714</v>
      </c>
      <c r="D415" s="37" t="s">
        <v>715</v>
      </c>
      <c r="E415" s="12" t="s">
        <v>423</v>
      </c>
      <c r="F415" s="70" t="s">
        <v>424</v>
      </c>
      <c r="G415" s="70" t="s">
        <v>424</v>
      </c>
      <c r="H415" s="70" t="s">
        <v>2310</v>
      </c>
      <c r="I415" s="70" t="s">
        <v>425</v>
      </c>
      <c r="J415" s="70" t="s">
        <v>16</v>
      </c>
      <c r="K415" s="70" t="s">
        <v>16</v>
      </c>
      <c r="L415" s="70" t="s">
        <v>595</v>
      </c>
      <c r="M415" s="6" t="s">
        <v>1485</v>
      </c>
      <c r="N415" s="26">
        <v>7569</v>
      </c>
      <c r="O415" s="57">
        <v>111</v>
      </c>
      <c r="P415" s="62">
        <f t="shared" si="7"/>
        <v>840159</v>
      </c>
      <c r="Q415" s="6" t="s">
        <v>397</v>
      </c>
      <c r="R415" s="6" t="s">
        <v>398</v>
      </c>
      <c r="S415" s="38">
        <v>551000000</v>
      </c>
      <c r="T415" s="26">
        <v>100</v>
      </c>
    </row>
    <row r="416" spans="1:20" ht="63.75">
      <c r="B416" s="6">
        <v>400</v>
      </c>
      <c r="C416" s="36" t="s">
        <v>714</v>
      </c>
      <c r="D416" s="37" t="s">
        <v>715</v>
      </c>
      <c r="E416" s="12" t="s">
        <v>423</v>
      </c>
      <c r="F416" s="70" t="s">
        <v>424</v>
      </c>
      <c r="G416" s="70" t="s">
        <v>424</v>
      </c>
      <c r="H416" s="70" t="s">
        <v>2310</v>
      </c>
      <c r="I416" s="70" t="s">
        <v>425</v>
      </c>
      <c r="J416" s="70" t="s">
        <v>16</v>
      </c>
      <c r="K416" s="70" t="s">
        <v>16</v>
      </c>
      <c r="L416" s="70" t="s">
        <v>595</v>
      </c>
      <c r="M416" s="6" t="s">
        <v>1485</v>
      </c>
      <c r="N416" s="26">
        <v>7569</v>
      </c>
      <c r="O416" s="57">
        <v>111</v>
      </c>
      <c r="P416" s="62">
        <f t="shared" si="7"/>
        <v>840159</v>
      </c>
      <c r="Q416" s="6" t="s">
        <v>395</v>
      </c>
      <c r="R416" s="6" t="s">
        <v>770</v>
      </c>
      <c r="S416" s="38">
        <v>591000000</v>
      </c>
      <c r="T416" s="26">
        <v>100</v>
      </c>
    </row>
    <row r="417" spans="2:20" ht="63.75">
      <c r="B417" s="6">
        <v>401</v>
      </c>
      <c r="C417" s="36" t="s">
        <v>714</v>
      </c>
      <c r="D417" s="37" t="s">
        <v>715</v>
      </c>
      <c r="E417" s="12" t="s">
        <v>423</v>
      </c>
      <c r="F417" s="70" t="s">
        <v>424</v>
      </c>
      <c r="G417" s="70" t="s">
        <v>424</v>
      </c>
      <c r="H417" s="70" t="s">
        <v>2310</v>
      </c>
      <c r="I417" s="70" t="s">
        <v>425</v>
      </c>
      <c r="J417" s="70" t="s">
        <v>16</v>
      </c>
      <c r="K417" s="70" t="s">
        <v>16</v>
      </c>
      <c r="L417" s="70" t="s">
        <v>595</v>
      </c>
      <c r="M417" s="6" t="s">
        <v>1485</v>
      </c>
      <c r="N417" s="26">
        <v>7288</v>
      </c>
      <c r="O417" s="57">
        <v>111</v>
      </c>
      <c r="P417" s="62">
        <f t="shared" si="7"/>
        <v>808968</v>
      </c>
      <c r="Q417" s="6" t="s">
        <v>397</v>
      </c>
      <c r="R417" s="6" t="s">
        <v>770</v>
      </c>
      <c r="S417" s="38" t="s">
        <v>2037</v>
      </c>
      <c r="T417" s="6">
        <v>100</v>
      </c>
    </row>
    <row r="418" spans="2:20" ht="51">
      <c r="B418" s="6">
        <v>402</v>
      </c>
      <c r="C418" s="36" t="s">
        <v>714</v>
      </c>
      <c r="D418" s="37" t="s">
        <v>715</v>
      </c>
      <c r="E418" s="40" t="s">
        <v>426</v>
      </c>
      <c r="F418" s="70" t="s">
        <v>427</v>
      </c>
      <c r="G418" s="70" t="s">
        <v>428</v>
      </c>
      <c r="H418" s="70" t="s">
        <v>841</v>
      </c>
      <c r="I418" s="70" t="s">
        <v>429</v>
      </c>
      <c r="J418" s="70" t="s">
        <v>2312</v>
      </c>
      <c r="K418" s="70" t="s">
        <v>231</v>
      </c>
      <c r="L418" s="70" t="s">
        <v>595</v>
      </c>
      <c r="M418" s="12" t="s">
        <v>913</v>
      </c>
      <c r="N418" s="26">
        <v>2000</v>
      </c>
      <c r="O418" s="57">
        <v>625</v>
      </c>
      <c r="P418" s="62">
        <f t="shared" si="7"/>
        <v>1250000</v>
      </c>
      <c r="Q418" s="6" t="s">
        <v>519</v>
      </c>
      <c r="R418" s="6" t="s">
        <v>770</v>
      </c>
      <c r="S418" s="38" t="s">
        <v>1179</v>
      </c>
      <c r="T418" s="26">
        <v>50</v>
      </c>
    </row>
    <row r="419" spans="2:20" ht="51">
      <c r="B419" s="6">
        <v>403</v>
      </c>
      <c r="C419" s="36" t="s">
        <v>714</v>
      </c>
      <c r="D419" s="37" t="s">
        <v>715</v>
      </c>
      <c r="E419" s="6" t="s">
        <v>447</v>
      </c>
      <c r="F419" s="70" t="s">
        <v>1682</v>
      </c>
      <c r="G419" s="70" t="s">
        <v>448</v>
      </c>
      <c r="H419" s="70" t="s">
        <v>1683</v>
      </c>
      <c r="I419" s="70" t="s">
        <v>450</v>
      </c>
      <c r="J419" s="70" t="s">
        <v>1684</v>
      </c>
      <c r="K419" s="70" t="s">
        <v>207</v>
      </c>
      <c r="L419" s="70" t="s">
        <v>595</v>
      </c>
      <c r="M419" s="38" t="s">
        <v>648</v>
      </c>
      <c r="N419" s="64">
        <v>1000</v>
      </c>
      <c r="O419" s="57">
        <v>393</v>
      </c>
      <c r="P419" s="62">
        <f t="shared" si="7"/>
        <v>393000</v>
      </c>
      <c r="Q419" s="6" t="s">
        <v>395</v>
      </c>
      <c r="R419" s="6" t="s">
        <v>1481</v>
      </c>
      <c r="S419" s="38" t="s">
        <v>1179</v>
      </c>
      <c r="T419" s="26">
        <v>50</v>
      </c>
    </row>
    <row r="420" spans="2:20" ht="51">
      <c r="B420" s="6">
        <v>404</v>
      </c>
      <c r="C420" s="36" t="s">
        <v>714</v>
      </c>
      <c r="D420" s="37" t="s">
        <v>715</v>
      </c>
      <c r="E420" s="6" t="s">
        <v>447</v>
      </c>
      <c r="F420" s="70" t="s">
        <v>1682</v>
      </c>
      <c r="G420" s="70" t="s">
        <v>448</v>
      </c>
      <c r="H420" s="70" t="s">
        <v>1683</v>
      </c>
      <c r="I420" s="70" t="s">
        <v>450</v>
      </c>
      <c r="J420" s="70" t="s">
        <v>1685</v>
      </c>
      <c r="K420" s="70" t="s">
        <v>208</v>
      </c>
      <c r="L420" s="70" t="s">
        <v>595</v>
      </c>
      <c r="M420" s="38" t="s">
        <v>648</v>
      </c>
      <c r="N420" s="64">
        <v>400</v>
      </c>
      <c r="O420" s="57">
        <v>393</v>
      </c>
      <c r="P420" s="62">
        <f t="shared" si="7"/>
        <v>157200</v>
      </c>
      <c r="Q420" s="6" t="s">
        <v>395</v>
      </c>
      <c r="R420" s="6" t="s">
        <v>1481</v>
      </c>
      <c r="S420" s="38" t="s">
        <v>1179</v>
      </c>
      <c r="T420" s="26">
        <v>50</v>
      </c>
    </row>
    <row r="421" spans="2:20" ht="51">
      <c r="B421" s="6">
        <v>405</v>
      </c>
      <c r="C421" s="36" t="s">
        <v>714</v>
      </c>
      <c r="D421" s="37" t="s">
        <v>715</v>
      </c>
      <c r="E421" s="11" t="s">
        <v>681</v>
      </c>
      <c r="F421" s="70" t="s">
        <v>2285</v>
      </c>
      <c r="G421" s="70" t="s">
        <v>23</v>
      </c>
      <c r="H421" s="70" t="s">
        <v>1686</v>
      </c>
      <c r="I421" s="70" t="s">
        <v>682</v>
      </c>
      <c r="J421" s="70" t="s">
        <v>2286</v>
      </c>
      <c r="K421" s="70" t="s">
        <v>209</v>
      </c>
      <c r="L421" s="70" t="s">
        <v>595</v>
      </c>
      <c r="M421" s="38" t="s">
        <v>648</v>
      </c>
      <c r="N421" s="64">
        <v>160</v>
      </c>
      <c r="O421" s="57">
        <v>31</v>
      </c>
      <c r="P421" s="62">
        <f t="shared" si="7"/>
        <v>4960</v>
      </c>
      <c r="Q421" s="6" t="s">
        <v>395</v>
      </c>
      <c r="R421" s="6" t="s">
        <v>1481</v>
      </c>
      <c r="S421" s="38" t="s">
        <v>1179</v>
      </c>
      <c r="T421" s="26">
        <v>50</v>
      </c>
    </row>
    <row r="422" spans="2:20" ht="51">
      <c r="B422" s="6">
        <v>406</v>
      </c>
      <c r="C422" s="36" t="s">
        <v>714</v>
      </c>
      <c r="D422" s="37" t="s">
        <v>715</v>
      </c>
      <c r="E422" s="6" t="s">
        <v>451</v>
      </c>
      <c r="F422" s="70" t="s">
        <v>24</v>
      </c>
      <c r="G422" s="70" t="s">
        <v>24</v>
      </c>
      <c r="H422" s="70" t="s">
        <v>1687</v>
      </c>
      <c r="I422" s="70" t="s">
        <v>452</v>
      </c>
      <c r="J422" s="70" t="s">
        <v>1688</v>
      </c>
      <c r="K422" s="70" t="s">
        <v>210</v>
      </c>
      <c r="L422" s="70" t="s">
        <v>595</v>
      </c>
      <c r="M422" s="38" t="s">
        <v>648</v>
      </c>
      <c r="N422" s="64">
        <v>100</v>
      </c>
      <c r="O422" s="57">
        <v>196</v>
      </c>
      <c r="P422" s="62">
        <f t="shared" si="7"/>
        <v>19600</v>
      </c>
      <c r="Q422" s="6" t="s">
        <v>395</v>
      </c>
      <c r="R422" s="6" t="s">
        <v>1481</v>
      </c>
      <c r="S422" s="38" t="s">
        <v>1179</v>
      </c>
      <c r="T422" s="26">
        <v>50</v>
      </c>
    </row>
    <row r="423" spans="2:20" ht="51">
      <c r="B423" s="6">
        <v>407</v>
      </c>
      <c r="C423" s="36" t="s">
        <v>714</v>
      </c>
      <c r="D423" s="37" t="s">
        <v>715</v>
      </c>
      <c r="E423" s="6" t="s">
        <v>451</v>
      </c>
      <c r="F423" s="70" t="s">
        <v>24</v>
      </c>
      <c r="G423" s="70" t="s">
        <v>24</v>
      </c>
      <c r="H423" s="70" t="s">
        <v>1687</v>
      </c>
      <c r="I423" s="70" t="s">
        <v>452</v>
      </c>
      <c r="J423" s="70" t="s">
        <v>1689</v>
      </c>
      <c r="K423" s="70" t="s">
        <v>230</v>
      </c>
      <c r="L423" s="70" t="s">
        <v>595</v>
      </c>
      <c r="M423" s="38" t="s">
        <v>648</v>
      </c>
      <c r="N423" s="64">
        <v>78</v>
      </c>
      <c r="O423" s="57">
        <v>88</v>
      </c>
      <c r="P423" s="62">
        <f t="shared" si="7"/>
        <v>6864</v>
      </c>
      <c r="Q423" s="6" t="s">
        <v>395</v>
      </c>
      <c r="R423" s="6" t="s">
        <v>1481</v>
      </c>
      <c r="S423" s="38" t="s">
        <v>1179</v>
      </c>
      <c r="T423" s="26">
        <v>50</v>
      </c>
    </row>
    <row r="424" spans="2:20" ht="51">
      <c r="B424" s="6">
        <v>408</v>
      </c>
      <c r="C424" s="36" t="s">
        <v>714</v>
      </c>
      <c r="D424" s="37" t="s">
        <v>715</v>
      </c>
      <c r="E424" s="6" t="s">
        <v>461</v>
      </c>
      <c r="F424" s="70" t="s">
        <v>17</v>
      </c>
      <c r="G424" s="70" t="s">
        <v>17</v>
      </c>
      <c r="H424" s="70" t="s">
        <v>2298</v>
      </c>
      <c r="I424" s="70" t="s">
        <v>2299</v>
      </c>
      <c r="J424" s="70" t="s">
        <v>1690</v>
      </c>
      <c r="K424" s="70" t="s">
        <v>211</v>
      </c>
      <c r="L424" s="70" t="s">
        <v>595</v>
      </c>
      <c r="M424" s="38" t="s">
        <v>648</v>
      </c>
      <c r="N424" s="26">
        <v>50</v>
      </c>
      <c r="O424" s="57">
        <v>161</v>
      </c>
      <c r="P424" s="62">
        <f t="shared" si="7"/>
        <v>8050</v>
      </c>
      <c r="Q424" s="6" t="s">
        <v>395</v>
      </c>
      <c r="R424" s="6" t="s">
        <v>1481</v>
      </c>
      <c r="S424" s="38" t="s">
        <v>1179</v>
      </c>
      <c r="T424" s="26">
        <v>50</v>
      </c>
    </row>
    <row r="425" spans="2:20" ht="51">
      <c r="B425" s="6">
        <v>409</v>
      </c>
      <c r="C425" s="36" t="s">
        <v>714</v>
      </c>
      <c r="D425" s="37" t="s">
        <v>715</v>
      </c>
      <c r="E425" s="6" t="s">
        <v>461</v>
      </c>
      <c r="F425" s="70" t="s">
        <v>17</v>
      </c>
      <c r="G425" s="70" t="s">
        <v>17</v>
      </c>
      <c r="H425" s="70" t="s">
        <v>2298</v>
      </c>
      <c r="I425" s="70" t="s">
        <v>2299</v>
      </c>
      <c r="J425" s="70" t="s">
        <v>1691</v>
      </c>
      <c r="K425" s="70" t="s">
        <v>212</v>
      </c>
      <c r="L425" s="70" t="s">
        <v>595</v>
      </c>
      <c r="M425" s="38" t="s">
        <v>648</v>
      </c>
      <c r="N425" s="26">
        <v>30</v>
      </c>
      <c r="O425" s="57">
        <v>696</v>
      </c>
      <c r="P425" s="62">
        <f t="shared" si="7"/>
        <v>20880</v>
      </c>
      <c r="Q425" s="6" t="s">
        <v>395</v>
      </c>
      <c r="R425" s="6" t="s">
        <v>1481</v>
      </c>
      <c r="S425" s="38" t="s">
        <v>1179</v>
      </c>
      <c r="T425" s="26">
        <v>50</v>
      </c>
    </row>
    <row r="426" spans="2:20" ht="51">
      <c r="B426" s="6">
        <v>410</v>
      </c>
      <c r="C426" s="36" t="s">
        <v>714</v>
      </c>
      <c r="D426" s="37" t="s">
        <v>715</v>
      </c>
      <c r="E426" s="6" t="s">
        <v>461</v>
      </c>
      <c r="F426" s="70" t="s">
        <v>17</v>
      </c>
      <c r="G426" s="70" t="s">
        <v>17</v>
      </c>
      <c r="H426" s="70" t="s">
        <v>2298</v>
      </c>
      <c r="I426" s="70" t="s">
        <v>2299</v>
      </c>
      <c r="J426" s="70" t="s">
        <v>1692</v>
      </c>
      <c r="K426" s="70" t="s">
        <v>213</v>
      </c>
      <c r="L426" s="70" t="s">
        <v>595</v>
      </c>
      <c r="M426" s="38" t="s">
        <v>648</v>
      </c>
      <c r="N426" s="26">
        <v>10</v>
      </c>
      <c r="O426" s="57">
        <v>3170</v>
      </c>
      <c r="P426" s="62">
        <f t="shared" si="7"/>
        <v>31700</v>
      </c>
      <c r="Q426" s="6" t="s">
        <v>395</v>
      </c>
      <c r="R426" s="6" t="s">
        <v>1481</v>
      </c>
      <c r="S426" s="38" t="s">
        <v>1179</v>
      </c>
      <c r="T426" s="26">
        <v>50</v>
      </c>
    </row>
    <row r="427" spans="2:20" ht="51">
      <c r="B427" s="6">
        <v>411</v>
      </c>
      <c r="C427" s="36" t="s">
        <v>714</v>
      </c>
      <c r="D427" s="37" t="s">
        <v>715</v>
      </c>
      <c r="E427" s="6" t="s">
        <v>456</v>
      </c>
      <c r="F427" s="70" t="s">
        <v>457</v>
      </c>
      <c r="G427" s="70" t="s">
        <v>458</v>
      </c>
      <c r="H427" s="70" t="s">
        <v>1693</v>
      </c>
      <c r="I427" s="70" t="s">
        <v>460</v>
      </c>
      <c r="J427" s="70" t="s">
        <v>1694</v>
      </c>
      <c r="K427" s="70" t="s">
        <v>214</v>
      </c>
      <c r="L427" s="70" t="s">
        <v>595</v>
      </c>
      <c r="M427" s="6" t="s">
        <v>484</v>
      </c>
      <c r="N427" s="26">
        <v>150</v>
      </c>
      <c r="O427" s="57">
        <v>40</v>
      </c>
      <c r="P427" s="62">
        <f t="shared" si="7"/>
        <v>6000</v>
      </c>
      <c r="Q427" s="6" t="s">
        <v>395</v>
      </c>
      <c r="R427" s="6" t="s">
        <v>1481</v>
      </c>
      <c r="S427" s="38" t="s">
        <v>1179</v>
      </c>
      <c r="T427" s="26">
        <v>50</v>
      </c>
    </row>
    <row r="428" spans="2:20" ht="51">
      <c r="B428" s="6">
        <v>412</v>
      </c>
      <c r="C428" s="36" t="s">
        <v>714</v>
      </c>
      <c r="D428" s="37" t="s">
        <v>715</v>
      </c>
      <c r="E428" s="6" t="s">
        <v>456</v>
      </c>
      <c r="F428" s="70" t="s">
        <v>457</v>
      </c>
      <c r="G428" s="70" t="s">
        <v>458</v>
      </c>
      <c r="H428" s="70" t="s">
        <v>1693</v>
      </c>
      <c r="I428" s="70" t="s">
        <v>460</v>
      </c>
      <c r="J428" s="70" t="s">
        <v>1695</v>
      </c>
      <c r="K428" s="70" t="s">
        <v>215</v>
      </c>
      <c r="L428" s="70" t="s">
        <v>595</v>
      </c>
      <c r="M428" s="6" t="s">
        <v>484</v>
      </c>
      <c r="N428" s="26">
        <v>150</v>
      </c>
      <c r="O428" s="57">
        <v>76</v>
      </c>
      <c r="P428" s="62">
        <f t="shared" si="7"/>
        <v>11400</v>
      </c>
      <c r="Q428" s="6" t="s">
        <v>395</v>
      </c>
      <c r="R428" s="6" t="s">
        <v>1481</v>
      </c>
      <c r="S428" s="38" t="s">
        <v>1179</v>
      </c>
      <c r="T428" s="26">
        <v>50</v>
      </c>
    </row>
    <row r="429" spans="2:20" ht="51">
      <c r="B429" s="6">
        <v>413</v>
      </c>
      <c r="C429" s="36" t="s">
        <v>714</v>
      </c>
      <c r="D429" s="37" t="s">
        <v>715</v>
      </c>
      <c r="E429" s="6" t="s">
        <v>456</v>
      </c>
      <c r="F429" s="70" t="s">
        <v>457</v>
      </c>
      <c r="G429" s="70" t="s">
        <v>458</v>
      </c>
      <c r="H429" s="70" t="s">
        <v>1693</v>
      </c>
      <c r="I429" s="70" t="s">
        <v>460</v>
      </c>
      <c r="J429" s="70" t="s">
        <v>1696</v>
      </c>
      <c r="K429" s="70" t="s">
        <v>1105</v>
      </c>
      <c r="L429" s="70" t="s">
        <v>595</v>
      </c>
      <c r="M429" s="6" t="s">
        <v>484</v>
      </c>
      <c r="N429" s="26">
        <v>112</v>
      </c>
      <c r="O429" s="57">
        <v>125</v>
      </c>
      <c r="P429" s="62">
        <f t="shared" si="7"/>
        <v>14000</v>
      </c>
      <c r="Q429" s="6" t="s">
        <v>395</v>
      </c>
      <c r="R429" s="6" t="s">
        <v>1481</v>
      </c>
      <c r="S429" s="38" t="s">
        <v>1179</v>
      </c>
      <c r="T429" s="26">
        <v>50</v>
      </c>
    </row>
    <row r="430" spans="2:20" ht="51">
      <c r="B430" s="6">
        <v>414</v>
      </c>
      <c r="C430" s="36" t="s">
        <v>714</v>
      </c>
      <c r="D430" s="37" t="s">
        <v>715</v>
      </c>
      <c r="E430" s="12" t="s">
        <v>463</v>
      </c>
      <c r="F430" s="70" t="s">
        <v>1697</v>
      </c>
      <c r="G430" s="70" t="s">
        <v>464</v>
      </c>
      <c r="H430" s="70" t="s">
        <v>1698</v>
      </c>
      <c r="I430" s="70" t="s">
        <v>465</v>
      </c>
      <c r="J430" s="70" t="s">
        <v>1699</v>
      </c>
      <c r="K430" s="70" t="s">
        <v>216</v>
      </c>
      <c r="L430" s="70" t="s">
        <v>595</v>
      </c>
      <c r="M430" s="38" t="s">
        <v>648</v>
      </c>
      <c r="N430" s="26">
        <v>60</v>
      </c>
      <c r="O430" s="57">
        <v>125</v>
      </c>
      <c r="P430" s="62">
        <f t="shared" si="7"/>
        <v>7500</v>
      </c>
      <c r="Q430" s="6" t="s">
        <v>395</v>
      </c>
      <c r="R430" s="6" t="s">
        <v>1481</v>
      </c>
      <c r="S430" s="38" t="s">
        <v>1179</v>
      </c>
      <c r="T430" s="26">
        <v>50</v>
      </c>
    </row>
    <row r="431" spans="2:20" ht="51">
      <c r="B431" s="6">
        <v>415</v>
      </c>
      <c r="C431" s="36" t="s">
        <v>714</v>
      </c>
      <c r="D431" s="37" t="s">
        <v>715</v>
      </c>
      <c r="E431" s="12" t="s">
        <v>1106</v>
      </c>
      <c r="F431" s="70" t="s">
        <v>1107</v>
      </c>
      <c r="G431" s="70" t="s">
        <v>1107</v>
      </c>
      <c r="H431" s="70" t="s">
        <v>1700</v>
      </c>
      <c r="I431" s="70" t="s">
        <v>1108</v>
      </c>
      <c r="J431" s="70" t="s">
        <v>1701</v>
      </c>
      <c r="K431" s="70" t="s">
        <v>217</v>
      </c>
      <c r="L431" s="70" t="s">
        <v>595</v>
      </c>
      <c r="M431" s="38" t="s">
        <v>648</v>
      </c>
      <c r="N431" s="26">
        <v>40</v>
      </c>
      <c r="O431" s="57">
        <v>214</v>
      </c>
      <c r="P431" s="62">
        <f t="shared" si="7"/>
        <v>8560</v>
      </c>
      <c r="Q431" s="6" t="s">
        <v>395</v>
      </c>
      <c r="R431" s="6" t="s">
        <v>1481</v>
      </c>
      <c r="S431" s="38" t="s">
        <v>1179</v>
      </c>
      <c r="T431" s="26">
        <v>50</v>
      </c>
    </row>
    <row r="432" spans="2:20" ht="51">
      <c r="B432" s="6">
        <v>416</v>
      </c>
      <c r="C432" s="36" t="s">
        <v>714</v>
      </c>
      <c r="D432" s="37" t="s">
        <v>715</v>
      </c>
      <c r="E432" s="6" t="s">
        <v>480</v>
      </c>
      <c r="F432" s="70" t="s">
        <v>1702</v>
      </c>
      <c r="G432" s="70" t="s">
        <v>28</v>
      </c>
      <c r="H432" s="70" t="s">
        <v>1703</v>
      </c>
      <c r="I432" s="70" t="s">
        <v>483</v>
      </c>
      <c r="J432" s="70" t="s">
        <v>1704</v>
      </c>
      <c r="K432" s="70" t="s">
        <v>1109</v>
      </c>
      <c r="L432" s="70" t="s">
        <v>595</v>
      </c>
      <c r="M432" s="38" t="s">
        <v>648</v>
      </c>
      <c r="N432" s="26">
        <v>40</v>
      </c>
      <c r="O432" s="57">
        <v>696</v>
      </c>
      <c r="P432" s="62">
        <f t="shared" si="7"/>
        <v>27840</v>
      </c>
      <c r="Q432" s="6" t="s">
        <v>395</v>
      </c>
      <c r="R432" s="6" t="s">
        <v>1481</v>
      </c>
      <c r="S432" s="38" t="s">
        <v>1179</v>
      </c>
      <c r="T432" s="26">
        <v>50</v>
      </c>
    </row>
    <row r="433" spans="2:20" ht="51">
      <c r="B433" s="6">
        <v>417</v>
      </c>
      <c r="C433" s="36" t="s">
        <v>714</v>
      </c>
      <c r="D433" s="37" t="s">
        <v>715</v>
      </c>
      <c r="E433" s="6" t="s">
        <v>480</v>
      </c>
      <c r="F433" s="70" t="s">
        <v>1702</v>
      </c>
      <c r="G433" s="70" t="s">
        <v>28</v>
      </c>
      <c r="H433" s="70" t="s">
        <v>1703</v>
      </c>
      <c r="I433" s="70" t="s">
        <v>483</v>
      </c>
      <c r="J433" s="70" t="s">
        <v>1705</v>
      </c>
      <c r="K433" s="70" t="s">
        <v>218</v>
      </c>
      <c r="L433" s="70" t="s">
        <v>595</v>
      </c>
      <c r="M433" s="38" t="s">
        <v>648</v>
      </c>
      <c r="N433" s="26">
        <v>20</v>
      </c>
      <c r="O433" s="57">
        <v>3661</v>
      </c>
      <c r="P433" s="62">
        <f t="shared" si="7"/>
        <v>73220</v>
      </c>
      <c r="Q433" s="6" t="s">
        <v>395</v>
      </c>
      <c r="R433" s="6" t="s">
        <v>1481</v>
      </c>
      <c r="S433" s="38" t="s">
        <v>1179</v>
      </c>
      <c r="T433" s="26">
        <v>50</v>
      </c>
    </row>
    <row r="434" spans="2:20" ht="51">
      <c r="B434" s="6">
        <v>418</v>
      </c>
      <c r="C434" s="36" t="s">
        <v>714</v>
      </c>
      <c r="D434" s="37" t="s">
        <v>715</v>
      </c>
      <c r="E434" s="11" t="s">
        <v>694</v>
      </c>
      <c r="F434" s="70" t="s">
        <v>2191</v>
      </c>
      <c r="G434" s="70" t="s">
        <v>29</v>
      </c>
      <c r="H434" s="70" t="s">
        <v>1706</v>
      </c>
      <c r="I434" s="70" t="s">
        <v>1707</v>
      </c>
      <c r="J434" s="70" t="s">
        <v>1708</v>
      </c>
      <c r="K434" s="70" t="s">
        <v>219</v>
      </c>
      <c r="L434" s="70" t="s">
        <v>595</v>
      </c>
      <c r="M434" s="6" t="s">
        <v>484</v>
      </c>
      <c r="N434" s="26">
        <v>130</v>
      </c>
      <c r="O434" s="57">
        <v>196</v>
      </c>
      <c r="P434" s="62">
        <f t="shared" si="7"/>
        <v>25480</v>
      </c>
      <c r="Q434" s="6" t="s">
        <v>395</v>
      </c>
      <c r="R434" s="6" t="s">
        <v>1481</v>
      </c>
      <c r="S434" s="38" t="s">
        <v>1179</v>
      </c>
      <c r="T434" s="26">
        <v>50</v>
      </c>
    </row>
    <row r="435" spans="2:20" ht="51">
      <c r="B435" s="6">
        <v>419</v>
      </c>
      <c r="C435" s="36" t="s">
        <v>714</v>
      </c>
      <c r="D435" s="37" t="s">
        <v>715</v>
      </c>
      <c r="E435" s="11" t="s">
        <v>694</v>
      </c>
      <c r="F435" s="70" t="s">
        <v>2191</v>
      </c>
      <c r="G435" s="70" t="s">
        <v>29</v>
      </c>
      <c r="H435" s="70" t="s">
        <v>1709</v>
      </c>
      <c r="I435" s="70" t="s">
        <v>1710</v>
      </c>
      <c r="J435" s="70" t="s">
        <v>1711</v>
      </c>
      <c r="K435" s="70" t="s">
        <v>220</v>
      </c>
      <c r="L435" s="70" t="s">
        <v>595</v>
      </c>
      <c r="M435" s="6" t="s">
        <v>484</v>
      </c>
      <c r="N435" s="26">
        <v>135</v>
      </c>
      <c r="O435" s="57">
        <v>214</v>
      </c>
      <c r="P435" s="62">
        <f t="shared" si="7"/>
        <v>28890</v>
      </c>
      <c r="Q435" s="6" t="s">
        <v>395</v>
      </c>
      <c r="R435" s="6" t="s">
        <v>1481</v>
      </c>
      <c r="S435" s="38" t="s">
        <v>1179</v>
      </c>
      <c r="T435" s="26">
        <v>50</v>
      </c>
    </row>
    <row r="436" spans="2:20" ht="51">
      <c r="B436" s="6">
        <v>420</v>
      </c>
      <c r="C436" s="36" t="s">
        <v>714</v>
      </c>
      <c r="D436" s="37" t="s">
        <v>715</v>
      </c>
      <c r="E436" s="6" t="s">
        <v>453</v>
      </c>
      <c r="F436" s="70" t="s">
        <v>2287</v>
      </c>
      <c r="G436" s="70" t="s">
        <v>454</v>
      </c>
      <c r="H436" s="70" t="s">
        <v>2290</v>
      </c>
      <c r="I436" s="70" t="s">
        <v>455</v>
      </c>
      <c r="J436" s="70" t="s">
        <v>2287</v>
      </c>
      <c r="K436" s="70" t="s">
        <v>234</v>
      </c>
      <c r="L436" s="70" t="s">
        <v>595</v>
      </c>
      <c r="M436" s="6" t="s">
        <v>484</v>
      </c>
      <c r="N436" s="26">
        <v>150</v>
      </c>
      <c r="O436" s="57">
        <v>70</v>
      </c>
      <c r="P436" s="62">
        <f t="shared" si="7"/>
        <v>10500</v>
      </c>
      <c r="Q436" s="6" t="s">
        <v>395</v>
      </c>
      <c r="R436" s="6" t="s">
        <v>1481</v>
      </c>
      <c r="S436" s="38" t="s">
        <v>1179</v>
      </c>
      <c r="T436" s="26">
        <v>50</v>
      </c>
    </row>
    <row r="437" spans="2:20" ht="51">
      <c r="B437" s="6">
        <v>421</v>
      </c>
      <c r="C437" s="36" t="s">
        <v>714</v>
      </c>
      <c r="D437" s="37" t="s">
        <v>715</v>
      </c>
      <c r="E437" s="12" t="s">
        <v>1110</v>
      </c>
      <c r="F437" s="70" t="s">
        <v>1712</v>
      </c>
      <c r="G437" s="70" t="s">
        <v>1111</v>
      </c>
      <c r="H437" s="70" t="s">
        <v>1713</v>
      </c>
      <c r="I437" s="70" t="s">
        <v>1112</v>
      </c>
      <c r="J437" s="70" t="s">
        <v>1712</v>
      </c>
      <c r="K437" s="70" t="s">
        <v>221</v>
      </c>
      <c r="L437" s="70" t="s">
        <v>595</v>
      </c>
      <c r="M437" s="38" t="s">
        <v>648</v>
      </c>
      <c r="N437" s="26">
        <v>20</v>
      </c>
      <c r="O437" s="57">
        <v>1125</v>
      </c>
      <c r="P437" s="62">
        <f t="shared" si="7"/>
        <v>22500</v>
      </c>
      <c r="Q437" s="6" t="s">
        <v>395</v>
      </c>
      <c r="R437" s="6" t="s">
        <v>1481</v>
      </c>
      <c r="S437" s="38" t="s">
        <v>1179</v>
      </c>
      <c r="T437" s="26">
        <v>50</v>
      </c>
    </row>
    <row r="438" spans="2:20" ht="51">
      <c r="B438" s="6">
        <v>422</v>
      </c>
      <c r="C438" s="36" t="s">
        <v>714</v>
      </c>
      <c r="D438" s="37" t="s">
        <v>715</v>
      </c>
      <c r="E438" s="6" t="s">
        <v>1113</v>
      </c>
      <c r="F438" s="70" t="s">
        <v>1714</v>
      </c>
      <c r="G438" s="70" t="s">
        <v>1114</v>
      </c>
      <c r="H438" s="70" t="s">
        <v>1715</v>
      </c>
      <c r="I438" s="70" t="s">
        <v>1115</v>
      </c>
      <c r="J438" s="70" t="s">
        <v>1716</v>
      </c>
      <c r="K438" s="70" t="s">
        <v>222</v>
      </c>
      <c r="L438" s="70" t="s">
        <v>595</v>
      </c>
      <c r="M438" s="38" t="s">
        <v>648</v>
      </c>
      <c r="N438" s="26">
        <v>60</v>
      </c>
      <c r="O438" s="57">
        <v>670</v>
      </c>
      <c r="P438" s="62">
        <f t="shared" si="7"/>
        <v>40200</v>
      </c>
      <c r="Q438" s="6" t="s">
        <v>395</v>
      </c>
      <c r="R438" s="6" t="s">
        <v>1481</v>
      </c>
      <c r="S438" s="38" t="s">
        <v>1179</v>
      </c>
      <c r="T438" s="26">
        <v>50</v>
      </c>
    </row>
    <row r="439" spans="2:20" ht="51">
      <c r="B439" s="6">
        <v>423</v>
      </c>
      <c r="C439" s="36" t="s">
        <v>714</v>
      </c>
      <c r="D439" s="37" t="s">
        <v>715</v>
      </c>
      <c r="E439" s="12" t="s">
        <v>1116</v>
      </c>
      <c r="F439" s="70" t="s">
        <v>1717</v>
      </c>
      <c r="G439" s="70" t="s">
        <v>1117</v>
      </c>
      <c r="H439" s="70" t="s">
        <v>1718</v>
      </c>
      <c r="I439" s="70" t="s">
        <v>1118</v>
      </c>
      <c r="J439" s="70" t="s">
        <v>1719</v>
      </c>
      <c r="K439" s="70" t="s">
        <v>223</v>
      </c>
      <c r="L439" s="70" t="s">
        <v>595</v>
      </c>
      <c r="M439" s="6" t="s">
        <v>484</v>
      </c>
      <c r="N439" s="26">
        <v>40</v>
      </c>
      <c r="O439" s="57">
        <v>263</v>
      </c>
      <c r="P439" s="62">
        <f t="shared" si="7"/>
        <v>10520</v>
      </c>
      <c r="Q439" s="6" t="s">
        <v>395</v>
      </c>
      <c r="R439" s="6" t="s">
        <v>1481</v>
      </c>
      <c r="S439" s="38" t="s">
        <v>1179</v>
      </c>
      <c r="T439" s="26">
        <v>50</v>
      </c>
    </row>
    <row r="440" spans="2:20" ht="51">
      <c r="B440" s="6">
        <v>424</v>
      </c>
      <c r="C440" s="36" t="s">
        <v>714</v>
      </c>
      <c r="D440" s="37" t="s">
        <v>715</v>
      </c>
      <c r="E440" s="12" t="s">
        <v>1387</v>
      </c>
      <c r="F440" s="70" t="s">
        <v>1013</v>
      </c>
      <c r="G440" s="70" t="s">
        <v>20</v>
      </c>
      <c r="H440" s="70" t="s">
        <v>1720</v>
      </c>
      <c r="I440" s="70" t="s">
        <v>471</v>
      </c>
      <c r="J440" s="70" t="s">
        <v>1721</v>
      </c>
      <c r="K440" s="70" t="s">
        <v>224</v>
      </c>
      <c r="L440" s="70" t="s">
        <v>595</v>
      </c>
      <c r="M440" s="38" t="s">
        <v>648</v>
      </c>
      <c r="N440" s="26">
        <v>278</v>
      </c>
      <c r="O440" s="57">
        <v>98</v>
      </c>
      <c r="P440" s="62">
        <f t="shared" si="7"/>
        <v>27244</v>
      </c>
      <c r="Q440" s="6" t="s">
        <v>395</v>
      </c>
      <c r="R440" s="6" t="s">
        <v>1481</v>
      </c>
      <c r="S440" s="38" t="s">
        <v>1179</v>
      </c>
      <c r="T440" s="26">
        <v>50</v>
      </c>
    </row>
    <row r="441" spans="2:20" ht="51">
      <c r="B441" s="6">
        <v>425</v>
      </c>
      <c r="C441" s="36" t="s">
        <v>714</v>
      </c>
      <c r="D441" s="37" t="s">
        <v>715</v>
      </c>
      <c r="E441" s="12" t="s">
        <v>1119</v>
      </c>
      <c r="F441" s="70" t="s">
        <v>1722</v>
      </c>
      <c r="G441" s="70" t="s">
        <v>680</v>
      </c>
      <c r="H441" s="70" t="s">
        <v>1723</v>
      </c>
      <c r="I441" s="70" t="s">
        <v>1120</v>
      </c>
      <c r="J441" s="70" t="s">
        <v>2385</v>
      </c>
      <c r="K441" s="70" t="s">
        <v>225</v>
      </c>
      <c r="L441" s="70" t="s">
        <v>595</v>
      </c>
      <c r="M441" s="38" t="s">
        <v>648</v>
      </c>
      <c r="N441" s="26">
        <v>1000</v>
      </c>
      <c r="O441" s="57">
        <v>11</v>
      </c>
      <c r="P441" s="62">
        <f t="shared" si="7"/>
        <v>11000</v>
      </c>
      <c r="Q441" s="6" t="s">
        <v>395</v>
      </c>
      <c r="R441" s="6" t="s">
        <v>1481</v>
      </c>
      <c r="S441" s="38" t="s">
        <v>1179</v>
      </c>
      <c r="T441" s="26">
        <v>50</v>
      </c>
    </row>
    <row r="442" spans="2:20" ht="51">
      <c r="B442" s="6">
        <v>426</v>
      </c>
      <c r="C442" s="36" t="s">
        <v>714</v>
      </c>
      <c r="D442" s="37" t="s">
        <v>715</v>
      </c>
      <c r="E442" s="12" t="s">
        <v>466</v>
      </c>
      <c r="F442" s="70" t="s">
        <v>1724</v>
      </c>
      <c r="G442" s="70" t="s">
        <v>467</v>
      </c>
      <c r="H442" s="70" t="s">
        <v>1725</v>
      </c>
      <c r="I442" s="70" t="s">
        <v>469</v>
      </c>
      <c r="J442" s="70" t="s">
        <v>1724</v>
      </c>
      <c r="K442" s="70" t="s">
        <v>467</v>
      </c>
      <c r="L442" s="70" t="s">
        <v>595</v>
      </c>
      <c r="M442" s="38" t="s">
        <v>648</v>
      </c>
      <c r="N442" s="26">
        <v>1390</v>
      </c>
      <c r="O442" s="57">
        <v>98</v>
      </c>
      <c r="P442" s="62">
        <f t="shared" si="7"/>
        <v>136220</v>
      </c>
      <c r="Q442" s="6" t="s">
        <v>395</v>
      </c>
      <c r="R442" s="6" t="s">
        <v>1481</v>
      </c>
      <c r="S442" s="38" t="s">
        <v>1179</v>
      </c>
      <c r="T442" s="26">
        <v>50</v>
      </c>
    </row>
    <row r="443" spans="2:20" ht="51">
      <c r="B443" s="6">
        <v>427</v>
      </c>
      <c r="C443" s="36" t="s">
        <v>714</v>
      </c>
      <c r="D443" s="37" t="s">
        <v>715</v>
      </c>
      <c r="E443" s="6" t="s">
        <v>472</v>
      </c>
      <c r="F443" s="70" t="s">
        <v>2313</v>
      </c>
      <c r="G443" s="70" t="s">
        <v>26</v>
      </c>
      <c r="H443" s="70" t="s">
        <v>1726</v>
      </c>
      <c r="I443" s="70" t="s">
        <v>473</v>
      </c>
      <c r="J443" s="70" t="s">
        <v>2313</v>
      </c>
      <c r="K443" s="70" t="s">
        <v>26</v>
      </c>
      <c r="L443" s="70" t="s">
        <v>595</v>
      </c>
      <c r="M443" s="12" t="s">
        <v>913</v>
      </c>
      <c r="N443" s="26">
        <v>150</v>
      </c>
      <c r="O443" s="57">
        <v>116</v>
      </c>
      <c r="P443" s="62">
        <f t="shared" si="7"/>
        <v>17400</v>
      </c>
      <c r="Q443" s="6" t="s">
        <v>395</v>
      </c>
      <c r="R443" s="6" t="s">
        <v>1481</v>
      </c>
      <c r="S443" s="38" t="s">
        <v>1179</v>
      </c>
      <c r="T443" s="26">
        <v>50</v>
      </c>
    </row>
    <row r="444" spans="2:20" ht="51">
      <c r="B444" s="6">
        <v>428</v>
      </c>
      <c r="C444" s="36" t="s">
        <v>714</v>
      </c>
      <c r="D444" s="37" t="s">
        <v>715</v>
      </c>
      <c r="E444" s="6" t="s">
        <v>474</v>
      </c>
      <c r="F444" s="70" t="s">
        <v>1727</v>
      </c>
      <c r="G444" s="70" t="s">
        <v>1728</v>
      </c>
      <c r="H444" s="70" t="s">
        <v>1729</v>
      </c>
      <c r="I444" s="70" t="s">
        <v>1730</v>
      </c>
      <c r="J444" s="70" t="s">
        <v>1121</v>
      </c>
      <c r="K444" s="70" t="s">
        <v>1121</v>
      </c>
      <c r="L444" s="70" t="s">
        <v>595</v>
      </c>
      <c r="M444" s="38" t="s">
        <v>648</v>
      </c>
      <c r="N444" s="26">
        <v>20</v>
      </c>
      <c r="O444" s="57">
        <v>3214</v>
      </c>
      <c r="P444" s="62">
        <f t="shared" si="7"/>
        <v>64280</v>
      </c>
      <c r="Q444" s="6" t="s">
        <v>395</v>
      </c>
      <c r="R444" s="6" t="s">
        <v>1481</v>
      </c>
      <c r="S444" s="38" t="s">
        <v>1179</v>
      </c>
      <c r="T444" s="26">
        <v>50</v>
      </c>
    </row>
    <row r="445" spans="2:20" ht="51">
      <c r="B445" s="6">
        <v>429</v>
      </c>
      <c r="C445" s="36" t="s">
        <v>714</v>
      </c>
      <c r="D445" s="37" t="s">
        <v>715</v>
      </c>
      <c r="E445" s="58" t="s">
        <v>1122</v>
      </c>
      <c r="F445" s="70" t="s">
        <v>1731</v>
      </c>
      <c r="G445" s="70" t="s">
        <v>1123</v>
      </c>
      <c r="H445" s="70" t="s">
        <v>1732</v>
      </c>
      <c r="I445" s="70" t="s">
        <v>1124</v>
      </c>
      <c r="J445" s="70" t="s">
        <v>1733</v>
      </c>
      <c r="K445" s="70" t="s">
        <v>1125</v>
      </c>
      <c r="L445" s="70" t="s">
        <v>595</v>
      </c>
      <c r="M445" s="38" t="s">
        <v>648</v>
      </c>
      <c r="N445" s="26">
        <v>60</v>
      </c>
      <c r="O445" s="57">
        <v>424</v>
      </c>
      <c r="P445" s="62">
        <f t="shared" si="7"/>
        <v>25440</v>
      </c>
      <c r="Q445" s="6" t="s">
        <v>395</v>
      </c>
      <c r="R445" s="6" t="s">
        <v>1481</v>
      </c>
      <c r="S445" s="38" t="s">
        <v>1179</v>
      </c>
      <c r="T445" s="26">
        <v>50</v>
      </c>
    </row>
    <row r="446" spans="2:20" ht="51">
      <c r="B446" s="6">
        <v>430</v>
      </c>
      <c r="C446" s="36" t="s">
        <v>714</v>
      </c>
      <c r="D446" s="37" t="s">
        <v>715</v>
      </c>
      <c r="E446" s="12" t="s">
        <v>1126</v>
      </c>
      <c r="F446" s="70" t="s">
        <v>850</v>
      </c>
      <c r="G446" s="70" t="s">
        <v>478</v>
      </c>
      <c r="H446" s="70" t="s">
        <v>1734</v>
      </c>
      <c r="I446" s="70" t="s">
        <v>1127</v>
      </c>
      <c r="J446" s="70" t="s">
        <v>2204</v>
      </c>
      <c r="K446" s="70" t="s">
        <v>226</v>
      </c>
      <c r="L446" s="70" t="s">
        <v>595</v>
      </c>
      <c r="M446" s="38" t="s">
        <v>648</v>
      </c>
      <c r="N446" s="26">
        <v>1000</v>
      </c>
      <c r="O446" s="57">
        <v>27</v>
      </c>
      <c r="P446" s="62">
        <f t="shared" si="7"/>
        <v>27000</v>
      </c>
      <c r="Q446" s="6" t="s">
        <v>395</v>
      </c>
      <c r="R446" s="6" t="s">
        <v>1481</v>
      </c>
      <c r="S446" s="38" t="s">
        <v>1179</v>
      </c>
      <c r="T446" s="26">
        <v>50</v>
      </c>
    </row>
    <row r="447" spans="2:20" ht="51">
      <c r="B447" s="6">
        <v>431</v>
      </c>
      <c r="C447" s="36" t="s">
        <v>714</v>
      </c>
      <c r="D447" s="37" t="s">
        <v>715</v>
      </c>
      <c r="E447" s="12" t="s">
        <v>1128</v>
      </c>
      <c r="F447" s="70" t="s">
        <v>850</v>
      </c>
      <c r="G447" s="70" t="s">
        <v>478</v>
      </c>
      <c r="H447" s="70" t="s">
        <v>1735</v>
      </c>
      <c r="I447" s="70" t="s">
        <v>1129</v>
      </c>
      <c r="J447" s="70" t="s">
        <v>227</v>
      </c>
      <c r="K447" s="70" t="s">
        <v>227</v>
      </c>
      <c r="L447" s="70" t="s">
        <v>595</v>
      </c>
      <c r="M447" s="38" t="s">
        <v>648</v>
      </c>
      <c r="N447" s="26">
        <v>1200</v>
      </c>
      <c r="O447" s="57">
        <v>22</v>
      </c>
      <c r="P447" s="62">
        <f t="shared" si="7"/>
        <v>26400</v>
      </c>
      <c r="Q447" s="6" t="s">
        <v>395</v>
      </c>
      <c r="R447" s="6" t="s">
        <v>1481</v>
      </c>
      <c r="S447" s="38" t="s">
        <v>1179</v>
      </c>
      <c r="T447" s="26">
        <v>50</v>
      </c>
    </row>
    <row r="448" spans="2:20" ht="51">
      <c r="B448" s="6">
        <v>432</v>
      </c>
      <c r="C448" s="36" t="s">
        <v>714</v>
      </c>
      <c r="D448" s="37" t="s">
        <v>715</v>
      </c>
      <c r="E448" s="12" t="s">
        <v>905</v>
      </c>
      <c r="F448" s="70" t="s">
        <v>850</v>
      </c>
      <c r="G448" s="70" t="s">
        <v>478</v>
      </c>
      <c r="H448" s="70" t="s">
        <v>2205</v>
      </c>
      <c r="I448" s="70" t="s">
        <v>2205</v>
      </c>
      <c r="J448" s="70" t="s">
        <v>228</v>
      </c>
      <c r="K448" s="70" t="s">
        <v>228</v>
      </c>
      <c r="L448" s="70" t="s">
        <v>595</v>
      </c>
      <c r="M448" s="38" t="s">
        <v>648</v>
      </c>
      <c r="N448" s="26">
        <v>1400</v>
      </c>
      <c r="O448" s="57">
        <v>18</v>
      </c>
      <c r="P448" s="62">
        <f t="shared" si="7"/>
        <v>25200</v>
      </c>
      <c r="Q448" s="6" t="s">
        <v>395</v>
      </c>
      <c r="R448" s="6" t="s">
        <v>1481</v>
      </c>
      <c r="S448" s="38" t="s">
        <v>1179</v>
      </c>
      <c r="T448" s="26">
        <v>50</v>
      </c>
    </row>
    <row r="449" spans="1:20" ht="51">
      <c r="B449" s="6">
        <v>433</v>
      </c>
      <c r="C449" s="36" t="s">
        <v>714</v>
      </c>
      <c r="D449" s="37" t="s">
        <v>715</v>
      </c>
      <c r="E449" s="11" t="s">
        <v>433</v>
      </c>
      <c r="F449" s="70" t="s">
        <v>844</v>
      </c>
      <c r="G449" s="70" t="s">
        <v>434</v>
      </c>
      <c r="H449" s="70" t="s">
        <v>1736</v>
      </c>
      <c r="I449" s="70" t="s">
        <v>435</v>
      </c>
      <c r="J449" s="70" t="s">
        <v>1737</v>
      </c>
      <c r="K449" s="70" t="s">
        <v>229</v>
      </c>
      <c r="L449" s="70" t="s">
        <v>595</v>
      </c>
      <c r="M449" s="12" t="s">
        <v>913</v>
      </c>
      <c r="N449" s="26">
        <v>350</v>
      </c>
      <c r="O449" s="57">
        <v>214</v>
      </c>
      <c r="P449" s="62">
        <f t="shared" si="7"/>
        <v>74900</v>
      </c>
      <c r="Q449" s="6" t="s">
        <v>395</v>
      </c>
      <c r="R449" s="6" t="s">
        <v>1481</v>
      </c>
      <c r="S449" s="38" t="s">
        <v>1179</v>
      </c>
      <c r="T449" s="26">
        <v>50</v>
      </c>
    </row>
    <row r="450" spans="1:20" ht="25.5">
      <c r="A450" s="61"/>
      <c r="B450" s="6">
        <v>434</v>
      </c>
      <c r="C450" s="36" t="s">
        <v>714</v>
      </c>
      <c r="D450" s="37" t="s">
        <v>715</v>
      </c>
      <c r="E450" s="40" t="s">
        <v>426</v>
      </c>
      <c r="F450" s="70" t="s">
        <v>427</v>
      </c>
      <c r="G450" s="70" t="s">
        <v>428</v>
      </c>
      <c r="H450" s="70" t="s">
        <v>841</v>
      </c>
      <c r="I450" s="70" t="s">
        <v>429</v>
      </c>
      <c r="J450" s="70" t="s">
        <v>2312</v>
      </c>
      <c r="K450" s="70" t="s">
        <v>231</v>
      </c>
      <c r="L450" s="70" t="s">
        <v>595</v>
      </c>
      <c r="M450" s="12" t="s">
        <v>913</v>
      </c>
      <c r="N450" s="26">
        <v>456</v>
      </c>
      <c r="O450" s="57">
        <v>670</v>
      </c>
      <c r="P450" s="62">
        <f t="shared" si="7"/>
        <v>305520</v>
      </c>
      <c r="Q450" s="6" t="s">
        <v>395</v>
      </c>
      <c r="R450" s="6" t="s">
        <v>395</v>
      </c>
      <c r="S450" s="38" t="s">
        <v>2035</v>
      </c>
      <c r="T450" s="26">
        <v>0</v>
      </c>
    </row>
    <row r="451" spans="1:20" ht="25.5">
      <c r="A451" s="61"/>
      <c r="B451" s="6">
        <v>435</v>
      </c>
      <c r="C451" s="36" t="s">
        <v>714</v>
      </c>
      <c r="D451" s="37" t="s">
        <v>715</v>
      </c>
      <c r="E451" s="11" t="s">
        <v>433</v>
      </c>
      <c r="F451" s="70" t="s">
        <v>844</v>
      </c>
      <c r="G451" s="70" t="s">
        <v>434</v>
      </c>
      <c r="H451" s="70" t="s">
        <v>845</v>
      </c>
      <c r="I451" s="70" t="s">
        <v>435</v>
      </c>
      <c r="J451" s="70" t="s">
        <v>844</v>
      </c>
      <c r="K451" s="70" t="s">
        <v>232</v>
      </c>
      <c r="L451" s="70" t="s">
        <v>595</v>
      </c>
      <c r="M451" s="12" t="s">
        <v>913</v>
      </c>
      <c r="N451" s="26">
        <v>76</v>
      </c>
      <c r="O451" s="57">
        <v>223</v>
      </c>
      <c r="P451" s="62">
        <f t="shared" si="7"/>
        <v>16948</v>
      </c>
      <c r="Q451" s="6" t="s">
        <v>395</v>
      </c>
      <c r="R451" s="6" t="s">
        <v>395</v>
      </c>
      <c r="S451" s="38" t="s">
        <v>2035</v>
      </c>
      <c r="T451" s="26">
        <v>0</v>
      </c>
    </row>
    <row r="452" spans="1:20" ht="25.5">
      <c r="A452" s="61"/>
      <c r="B452" s="6">
        <v>436</v>
      </c>
      <c r="C452" s="36" t="s">
        <v>714</v>
      </c>
      <c r="D452" s="37" t="s">
        <v>715</v>
      </c>
      <c r="E452" s="12" t="s">
        <v>898</v>
      </c>
      <c r="F452" s="70" t="s">
        <v>771</v>
      </c>
      <c r="G452" s="70" t="s">
        <v>18</v>
      </c>
      <c r="H452" s="70" t="s">
        <v>2188</v>
      </c>
      <c r="I452" s="70" t="s">
        <v>674</v>
      </c>
      <c r="J452" s="70" t="s">
        <v>771</v>
      </c>
      <c r="K452" s="70" t="s">
        <v>18</v>
      </c>
      <c r="L452" s="70" t="s">
        <v>595</v>
      </c>
      <c r="M452" s="6" t="s">
        <v>484</v>
      </c>
      <c r="N452" s="26">
        <v>76</v>
      </c>
      <c r="O452" s="57">
        <v>179</v>
      </c>
      <c r="P452" s="62">
        <f t="shared" si="7"/>
        <v>13604</v>
      </c>
      <c r="Q452" s="6" t="s">
        <v>395</v>
      </c>
      <c r="R452" s="6" t="s">
        <v>395</v>
      </c>
      <c r="S452" s="38" t="s">
        <v>2035</v>
      </c>
      <c r="T452" s="26">
        <v>0</v>
      </c>
    </row>
    <row r="453" spans="1:20" ht="38.25">
      <c r="A453" s="61"/>
      <c r="B453" s="6">
        <v>437</v>
      </c>
      <c r="C453" s="16" t="s">
        <v>714</v>
      </c>
      <c r="D453" s="37" t="s">
        <v>715</v>
      </c>
      <c r="E453" s="6" t="s">
        <v>675</v>
      </c>
      <c r="F453" s="70" t="s">
        <v>20</v>
      </c>
      <c r="G453" s="70" t="s">
        <v>20</v>
      </c>
      <c r="H453" s="70" t="s">
        <v>2237</v>
      </c>
      <c r="I453" s="70" t="s">
        <v>772</v>
      </c>
      <c r="J453" s="70" t="s">
        <v>20</v>
      </c>
      <c r="K453" s="70" t="s">
        <v>20</v>
      </c>
      <c r="L453" s="70" t="s">
        <v>595</v>
      </c>
      <c r="M453" s="38" t="s">
        <v>648</v>
      </c>
      <c r="N453" s="26">
        <v>76</v>
      </c>
      <c r="O453" s="57">
        <v>107</v>
      </c>
      <c r="P453" s="62">
        <f t="shared" si="7"/>
        <v>8132</v>
      </c>
      <c r="Q453" s="6" t="s">
        <v>395</v>
      </c>
      <c r="R453" s="6" t="s">
        <v>395</v>
      </c>
      <c r="S453" s="38" t="s">
        <v>2035</v>
      </c>
      <c r="T453" s="26">
        <v>0</v>
      </c>
    </row>
    <row r="454" spans="1:20" ht="38.25">
      <c r="A454" s="61"/>
      <c r="B454" s="6">
        <v>438</v>
      </c>
      <c r="C454" s="36" t="s">
        <v>714</v>
      </c>
      <c r="D454" s="37" t="s">
        <v>715</v>
      </c>
      <c r="E454" s="11" t="s">
        <v>677</v>
      </c>
      <c r="F454" s="70" t="s">
        <v>21</v>
      </c>
      <c r="G454" s="70" t="s">
        <v>21</v>
      </c>
      <c r="H454" s="70" t="s">
        <v>2255</v>
      </c>
      <c r="I454" s="70" t="s">
        <v>678</v>
      </c>
      <c r="J454" s="70" t="s">
        <v>21</v>
      </c>
      <c r="K454" s="70" t="s">
        <v>21</v>
      </c>
      <c r="L454" s="70" t="s">
        <v>595</v>
      </c>
      <c r="M454" s="38" t="s">
        <v>648</v>
      </c>
      <c r="N454" s="26">
        <v>19</v>
      </c>
      <c r="O454" s="57">
        <v>1339</v>
      </c>
      <c r="P454" s="62">
        <f t="shared" si="7"/>
        <v>25441</v>
      </c>
      <c r="Q454" s="6" t="s">
        <v>395</v>
      </c>
      <c r="R454" s="6" t="s">
        <v>395</v>
      </c>
      <c r="S454" s="38" t="s">
        <v>2035</v>
      </c>
      <c r="T454" s="26">
        <v>0</v>
      </c>
    </row>
    <row r="455" spans="1:20" ht="63.75">
      <c r="A455" s="61"/>
      <c r="B455" s="6">
        <v>439</v>
      </c>
      <c r="C455" s="16" t="s">
        <v>714</v>
      </c>
      <c r="D455" s="37" t="s">
        <v>715</v>
      </c>
      <c r="E455" s="11" t="s">
        <v>679</v>
      </c>
      <c r="F455" s="70" t="s">
        <v>2085</v>
      </c>
      <c r="G455" s="70" t="s">
        <v>22</v>
      </c>
      <c r="H455" s="70" t="s">
        <v>847</v>
      </c>
      <c r="I455" s="70" t="s">
        <v>773</v>
      </c>
      <c r="J455" s="70" t="s">
        <v>2085</v>
      </c>
      <c r="K455" s="70" t="s">
        <v>944</v>
      </c>
      <c r="L455" s="70" t="s">
        <v>595</v>
      </c>
      <c r="M455" s="6" t="s">
        <v>484</v>
      </c>
      <c r="N455" s="26">
        <v>456</v>
      </c>
      <c r="O455" s="57">
        <v>13</v>
      </c>
      <c r="P455" s="62">
        <f t="shared" si="7"/>
        <v>5928</v>
      </c>
      <c r="Q455" s="6" t="s">
        <v>395</v>
      </c>
      <c r="R455" s="6" t="s">
        <v>395</v>
      </c>
      <c r="S455" s="38" t="s">
        <v>2035</v>
      </c>
      <c r="T455" s="26">
        <v>0</v>
      </c>
    </row>
    <row r="456" spans="1:20" ht="38.25">
      <c r="A456" s="61"/>
      <c r="B456" s="6">
        <v>440</v>
      </c>
      <c r="C456" s="36" t="s">
        <v>714</v>
      </c>
      <c r="D456" s="37" t="s">
        <v>715</v>
      </c>
      <c r="E456" s="6" t="s">
        <v>447</v>
      </c>
      <c r="F456" s="70" t="s">
        <v>448</v>
      </c>
      <c r="G456" s="70" t="s">
        <v>448</v>
      </c>
      <c r="H456" s="70" t="s">
        <v>449</v>
      </c>
      <c r="I456" s="70" t="s">
        <v>450</v>
      </c>
      <c r="J456" s="70" t="s">
        <v>233</v>
      </c>
      <c r="K456" s="70" t="s">
        <v>233</v>
      </c>
      <c r="L456" s="70" t="s">
        <v>595</v>
      </c>
      <c r="M456" s="38" t="s">
        <v>648</v>
      </c>
      <c r="N456" s="26">
        <v>114</v>
      </c>
      <c r="O456" s="57">
        <v>446</v>
      </c>
      <c r="P456" s="62">
        <f t="shared" si="7"/>
        <v>50844</v>
      </c>
      <c r="Q456" s="6" t="s">
        <v>395</v>
      </c>
      <c r="R456" s="6" t="s">
        <v>395</v>
      </c>
      <c r="S456" s="38" t="s">
        <v>2035</v>
      </c>
      <c r="T456" s="26">
        <v>0</v>
      </c>
    </row>
    <row r="457" spans="1:20" ht="38.25">
      <c r="A457" s="61"/>
      <c r="B457" s="6">
        <v>441</v>
      </c>
      <c r="C457" s="36" t="s">
        <v>714</v>
      </c>
      <c r="D457" s="37" t="s">
        <v>715</v>
      </c>
      <c r="E457" s="11" t="s">
        <v>681</v>
      </c>
      <c r="F457" s="70" t="s">
        <v>2285</v>
      </c>
      <c r="G457" s="70" t="s">
        <v>23</v>
      </c>
      <c r="H457" s="70" t="s">
        <v>848</v>
      </c>
      <c r="I457" s="70" t="s">
        <v>682</v>
      </c>
      <c r="J457" s="70" t="s">
        <v>2285</v>
      </c>
      <c r="K457" s="70" t="s">
        <v>23</v>
      </c>
      <c r="L457" s="70" t="s">
        <v>595</v>
      </c>
      <c r="M457" s="38" t="s">
        <v>648</v>
      </c>
      <c r="N457" s="26">
        <v>114</v>
      </c>
      <c r="O457" s="57">
        <v>268</v>
      </c>
      <c r="P457" s="62">
        <f t="shared" si="7"/>
        <v>30552</v>
      </c>
      <c r="Q457" s="6" t="s">
        <v>395</v>
      </c>
      <c r="R457" s="6" t="s">
        <v>395</v>
      </c>
      <c r="S457" s="38" t="s">
        <v>2035</v>
      </c>
      <c r="T457" s="26">
        <v>0</v>
      </c>
    </row>
    <row r="458" spans="1:20" ht="25.5">
      <c r="A458" s="61"/>
      <c r="B458" s="6">
        <v>442</v>
      </c>
      <c r="C458" s="36" t="s">
        <v>714</v>
      </c>
      <c r="D458" s="37" t="s">
        <v>715</v>
      </c>
      <c r="E458" s="11" t="s">
        <v>683</v>
      </c>
      <c r="F458" s="70" t="s">
        <v>24</v>
      </c>
      <c r="G458" s="70" t="s">
        <v>24</v>
      </c>
      <c r="H458" s="70" t="s">
        <v>2288</v>
      </c>
      <c r="I458" s="70" t="s">
        <v>684</v>
      </c>
      <c r="J458" s="70" t="s">
        <v>24</v>
      </c>
      <c r="K458" s="70" t="s">
        <v>24</v>
      </c>
      <c r="L458" s="70" t="s">
        <v>595</v>
      </c>
      <c r="M458" s="38" t="s">
        <v>648</v>
      </c>
      <c r="N458" s="26">
        <v>19</v>
      </c>
      <c r="O458" s="57">
        <v>223</v>
      </c>
      <c r="P458" s="62">
        <f t="shared" si="7"/>
        <v>4237</v>
      </c>
      <c r="Q458" s="6" t="s">
        <v>395</v>
      </c>
      <c r="R458" s="6" t="s">
        <v>395</v>
      </c>
      <c r="S458" s="38" t="s">
        <v>2035</v>
      </c>
      <c r="T458" s="26">
        <v>0</v>
      </c>
    </row>
    <row r="459" spans="1:20" ht="25.5">
      <c r="A459" s="61"/>
      <c r="B459" s="6">
        <v>443</v>
      </c>
      <c r="C459" s="36" t="s">
        <v>714</v>
      </c>
      <c r="D459" s="37" t="s">
        <v>715</v>
      </c>
      <c r="E459" s="6" t="s">
        <v>453</v>
      </c>
      <c r="F459" s="70" t="s">
        <v>2287</v>
      </c>
      <c r="G459" s="70" t="s">
        <v>454</v>
      </c>
      <c r="H459" s="70" t="s">
        <v>2290</v>
      </c>
      <c r="I459" s="70" t="s">
        <v>455</v>
      </c>
      <c r="J459" s="70" t="s">
        <v>2287</v>
      </c>
      <c r="K459" s="70" t="s">
        <v>234</v>
      </c>
      <c r="L459" s="70" t="s">
        <v>595</v>
      </c>
      <c r="M459" s="6" t="s">
        <v>484</v>
      </c>
      <c r="N459" s="26">
        <v>114</v>
      </c>
      <c r="O459" s="57">
        <v>223</v>
      </c>
      <c r="P459" s="62">
        <f t="shared" si="7"/>
        <v>25422</v>
      </c>
      <c r="Q459" s="6" t="s">
        <v>395</v>
      </c>
      <c r="R459" s="6" t="s">
        <v>395</v>
      </c>
      <c r="S459" s="38" t="s">
        <v>2035</v>
      </c>
      <c r="T459" s="26">
        <v>0</v>
      </c>
    </row>
    <row r="460" spans="1:20" ht="25.5">
      <c r="A460" s="61"/>
      <c r="B460" s="6">
        <v>444</v>
      </c>
      <c r="C460" s="36" t="s">
        <v>714</v>
      </c>
      <c r="D460" s="37" t="s">
        <v>715</v>
      </c>
      <c r="E460" s="6" t="s">
        <v>456</v>
      </c>
      <c r="F460" s="70" t="s">
        <v>457</v>
      </c>
      <c r="G460" s="70" t="s">
        <v>458</v>
      </c>
      <c r="H460" s="70" t="s">
        <v>459</v>
      </c>
      <c r="I460" s="70" t="s">
        <v>460</v>
      </c>
      <c r="J460" s="70" t="s">
        <v>457</v>
      </c>
      <c r="K460" s="70" t="s">
        <v>235</v>
      </c>
      <c r="L460" s="70" t="s">
        <v>595</v>
      </c>
      <c r="M460" s="6" t="s">
        <v>484</v>
      </c>
      <c r="N460" s="26">
        <v>114</v>
      </c>
      <c r="O460" s="57">
        <v>179</v>
      </c>
      <c r="P460" s="62">
        <f t="shared" si="7"/>
        <v>20406</v>
      </c>
      <c r="Q460" s="6" t="s">
        <v>395</v>
      </c>
      <c r="R460" s="6" t="s">
        <v>395</v>
      </c>
      <c r="S460" s="38" t="s">
        <v>2035</v>
      </c>
      <c r="T460" s="26">
        <v>0</v>
      </c>
    </row>
    <row r="461" spans="1:20" ht="51">
      <c r="A461" s="61"/>
      <c r="B461" s="6">
        <v>445</v>
      </c>
      <c r="C461" s="36" t="s">
        <v>714</v>
      </c>
      <c r="D461" s="37" t="s">
        <v>715</v>
      </c>
      <c r="E461" s="6" t="s">
        <v>461</v>
      </c>
      <c r="F461" s="70" t="s">
        <v>17</v>
      </c>
      <c r="G461" s="70" t="s">
        <v>17</v>
      </c>
      <c r="H461" s="70" t="s">
        <v>2298</v>
      </c>
      <c r="I461" s="70" t="s">
        <v>2299</v>
      </c>
      <c r="J461" s="70" t="s">
        <v>17</v>
      </c>
      <c r="K461" s="70" t="s">
        <v>17</v>
      </c>
      <c r="L461" s="70" t="s">
        <v>595</v>
      </c>
      <c r="M461" s="38" t="s">
        <v>648</v>
      </c>
      <c r="N461" s="26">
        <v>38</v>
      </c>
      <c r="O461" s="57">
        <v>714</v>
      </c>
      <c r="P461" s="62">
        <f t="shared" si="7"/>
        <v>27132</v>
      </c>
      <c r="Q461" s="6" t="s">
        <v>395</v>
      </c>
      <c r="R461" s="6" t="s">
        <v>395</v>
      </c>
      <c r="S461" s="38" t="s">
        <v>2035</v>
      </c>
      <c r="T461" s="26">
        <v>0</v>
      </c>
    </row>
    <row r="462" spans="1:20" ht="25.5">
      <c r="A462" s="61"/>
      <c r="B462" s="6">
        <v>446</v>
      </c>
      <c r="C462" s="16" t="s">
        <v>714</v>
      </c>
      <c r="D462" s="37" t="s">
        <v>715</v>
      </c>
      <c r="E462" s="38" t="s">
        <v>685</v>
      </c>
      <c r="F462" s="70" t="s">
        <v>464</v>
      </c>
      <c r="G462" s="70" t="s">
        <v>464</v>
      </c>
      <c r="H462" s="70" t="s">
        <v>2311</v>
      </c>
      <c r="I462" s="70" t="s">
        <v>686</v>
      </c>
      <c r="J462" s="70" t="s">
        <v>464</v>
      </c>
      <c r="K462" s="70" t="s">
        <v>1275</v>
      </c>
      <c r="L462" s="70" t="s">
        <v>595</v>
      </c>
      <c r="M462" s="38" t="s">
        <v>648</v>
      </c>
      <c r="N462" s="26">
        <v>76</v>
      </c>
      <c r="O462" s="57">
        <v>161</v>
      </c>
      <c r="P462" s="62">
        <f t="shared" si="7"/>
        <v>12236</v>
      </c>
      <c r="Q462" s="6" t="s">
        <v>395</v>
      </c>
      <c r="R462" s="6" t="s">
        <v>395</v>
      </c>
      <c r="S462" s="38" t="s">
        <v>2035</v>
      </c>
      <c r="T462" s="26">
        <v>0</v>
      </c>
    </row>
    <row r="463" spans="1:20" ht="25.5">
      <c r="A463" s="61"/>
      <c r="B463" s="6">
        <v>447</v>
      </c>
      <c r="C463" s="16" t="s">
        <v>714</v>
      </c>
      <c r="D463" s="37" t="s">
        <v>715</v>
      </c>
      <c r="E463" s="38" t="s">
        <v>466</v>
      </c>
      <c r="F463" s="70" t="s">
        <v>470</v>
      </c>
      <c r="G463" s="70" t="s">
        <v>467</v>
      </c>
      <c r="H463" s="70" t="s">
        <v>2278</v>
      </c>
      <c r="I463" s="70" t="s">
        <v>1276</v>
      </c>
      <c r="J463" s="70" t="s">
        <v>470</v>
      </c>
      <c r="K463" s="70" t="s">
        <v>467</v>
      </c>
      <c r="L463" s="70" t="s">
        <v>595</v>
      </c>
      <c r="M463" s="38" t="s">
        <v>648</v>
      </c>
      <c r="N463" s="26">
        <v>76</v>
      </c>
      <c r="O463" s="57">
        <v>161</v>
      </c>
      <c r="P463" s="62">
        <f t="shared" si="7"/>
        <v>12236</v>
      </c>
      <c r="Q463" s="6" t="s">
        <v>395</v>
      </c>
      <c r="R463" s="6" t="s">
        <v>395</v>
      </c>
      <c r="S463" s="38" t="s">
        <v>2035</v>
      </c>
      <c r="T463" s="26">
        <v>0</v>
      </c>
    </row>
    <row r="464" spans="1:20" ht="25.5">
      <c r="A464" s="61"/>
      <c r="B464" s="6">
        <v>448</v>
      </c>
      <c r="C464" s="36" t="s">
        <v>714</v>
      </c>
      <c r="D464" s="37" t="s">
        <v>715</v>
      </c>
      <c r="E464" s="11" t="s">
        <v>688</v>
      </c>
      <c r="F464" s="70" t="s">
        <v>470</v>
      </c>
      <c r="G464" s="70" t="s">
        <v>25</v>
      </c>
      <c r="H464" s="70" t="s">
        <v>2199</v>
      </c>
      <c r="I464" s="70" t="s">
        <v>689</v>
      </c>
      <c r="J464" s="70" t="s">
        <v>470</v>
      </c>
      <c r="K464" s="70" t="s">
        <v>25</v>
      </c>
      <c r="L464" s="70" t="s">
        <v>595</v>
      </c>
      <c r="M464" s="38" t="s">
        <v>648</v>
      </c>
      <c r="N464" s="26">
        <v>76</v>
      </c>
      <c r="O464" s="57">
        <v>45</v>
      </c>
      <c r="P464" s="62">
        <f t="shared" si="7"/>
        <v>3420</v>
      </c>
      <c r="Q464" s="6" t="s">
        <v>395</v>
      </c>
      <c r="R464" s="6" t="s">
        <v>395</v>
      </c>
      <c r="S464" s="38" t="s">
        <v>2035</v>
      </c>
      <c r="T464" s="26">
        <v>0</v>
      </c>
    </row>
    <row r="465" spans="1:20" ht="25.5">
      <c r="A465" s="61"/>
      <c r="B465" s="6">
        <v>449</v>
      </c>
      <c r="C465" s="16" t="s">
        <v>714</v>
      </c>
      <c r="D465" s="37" t="s">
        <v>715</v>
      </c>
      <c r="E465" s="11" t="s">
        <v>690</v>
      </c>
      <c r="F465" s="70" t="s">
        <v>2313</v>
      </c>
      <c r="G465" s="70" t="s">
        <v>26</v>
      </c>
      <c r="H465" s="70" t="s">
        <v>2314</v>
      </c>
      <c r="I465" s="70" t="s">
        <v>691</v>
      </c>
      <c r="J465" s="70" t="s">
        <v>2313</v>
      </c>
      <c r="K465" s="70" t="s">
        <v>26</v>
      </c>
      <c r="L465" s="70" t="s">
        <v>595</v>
      </c>
      <c r="M465" s="12" t="s">
        <v>913</v>
      </c>
      <c r="N465" s="26">
        <v>38</v>
      </c>
      <c r="O465" s="57">
        <v>134</v>
      </c>
      <c r="P465" s="62">
        <f t="shared" ref="P465:P528" si="8">N465*O465</f>
        <v>5092</v>
      </c>
      <c r="Q465" s="6" t="s">
        <v>395</v>
      </c>
      <c r="R465" s="6" t="s">
        <v>395</v>
      </c>
      <c r="S465" s="38" t="s">
        <v>2035</v>
      </c>
      <c r="T465" s="26">
        <v>0</v>
      </c>
    </row>
    <row r="466" spans="1:20" ht="114.75">
      <c r="A466" s="61"/>
      <c r="B466" s="6">
        <v>450</v>
      </c>
      <c r="C466" s="36" t="s">
        <v>714</v>
      </c>
      <c r="D466" s="37" t="s">
        <v>715</v>
      </c>
      <c r="E466" s="6" t="s">
        <v>474</v>
      </c>
      <c r="F466" s="70" t="s">
        <v>27</v>
      </c>
      <c r="G466" s="70" t="s">
        <v>27</v>
      </c>
      <c r="H466" s="70" t="s">
        <v>475</v>
      </c>
      <c r="I466" s="70" t="s">
        <v>476</v>
      </c>
      <c r="J466" s="70" t="s">
        <v>27</v>
      </c>
      <c r="K466" s="70" t="s">
        <v>27</v>
      </c>
      <c r="L466" s="70" t="s">
        <v>595</v>
      </c>
      <c r="M466" s="38" t="s">
        <v>648</v>
      </c>
      <c r="N466" s="26">
        <v>4</v>
      </c>
      <c r="O466" s="57">
        <v>2679</v>
      </c>
      <c r="P466" s="62">
        <f t="shared" si="8"/>
        <v>10716</v>
      </c>
      <c r="Q466" s="6" t="s">
        <v>395</v>
      </c>
      <c r="R466" s="6" t="s">
        <v>395</v>
      </c>
      <c r="S466" s="38" t="s">
        <v>2035</v>
      </c>
      <c r="T466" s="26">
        <v>0</v>
      </c>
    </row>
    <row r="467" spans="1:20" ht="25.5">
      <c r="A467" s="61"/>
      <c r="B467" s="6">
        <v>451</v>
      </c>
      <c r="C467" s="36" t="s">
        <v>714</v>
      </c>
      <c r="D467" s="37" t="s">
        <v>715</v>
      </c>
      <c r="E467" s="11" t="s">
        <v>1128</v>
      </c>
      <c r="F467" s="70" t="s">
        <v>850</v>
      </c>
      <c r="G467" s="70" t="s">
        <v>478</v>
      </c>
      <c r="H467" s="70" t="s">
        <v>1735</v>
      </c>
      <c r="I467" s="70" t="s">
        <v>1129</v>
      </c>
      <c r="J467" s="70" t="s">
        <v>850</v>
      </c>
      <c r="K467" s="70" t="s">
        <v>237</v>
      </c>
      <c r="L467" s="70" t="s">
        <v>595</v>
      </c>
      <c r="M467" s="38" t="s">
        <v>648</v>
      </c>
      <c r="N467" s="26">
        <v>456</v>
      </c>
      <c r="O467" s="57">
        <v>45</v>
      </c>
      <c r="P467" s="62">
        <f t="shared" si="8"/>
        <v>20520</v>
      </c>
      <c r="Q467" s="6" t="s">
        <v>395</v>
      </c>
      <c r="R467" s="6" t="s">
        <v>395</v>
      </c>
      <c r="S467" s="38" t="s">
        <v>2035</v>
      </c>
      <c r="T467" s="26">
        <v>0</v>
      </c>
    </row>
    <row r="468" spans="1:20" ht="38.25">
      <c r="A468" s="61"/>
      <c r="B468" s="6">
        <v>452</v>
      </c>
      <c r="C468" s="36" t="s">
        <v>714</v>
      </c>
      <c r="D468" s="37" t="s">
        <v>715</v>
      </c>
      <c r="E468" s="6" t="s">
        <v>480</v>
      </c>
      <c r="F468" s="70" t="s">
        <v>481</v>
      </c>
      <c r="G468" s="70" t="s">
        <v>28</v>
      </c>
      <c r="H468" s="70" t="s">
        <v>482</v>
      </c>
      <c r="I468" s="70" t="s">
        <v>483</v>
      </c>
      <c r="J468" s="70" t="s">
        <v>481</v>
      </c>
      <c r="K468" s="70" t="s">
        <v>28</v>
      </c>
      <c r="L468" s="70" t="s">
        <v>595</v>
      </c>
      <c r="M468" s="38" t="s">
        <v>648</v>
      </c>
      <c r="N468" s="26">
        <v>19</v>
      </c>
      <c r="O468" s="57">
        <v>759</v>
      </c>
      <c r="P468" s="62">
        <f t="shared" si="8"/>
        <v>14421</v>
      </c>
      <c r="Q468" s="6" t="s">
        <v>395</v>
      </c>
      <c r="R468" s="6" t="s">
        <v>395</v>
      </c>
      <c r="S468" s="38" t="s">
        <v>2035</v>
      </c>
      <c r="T468" s="26">
        <v>0</v>
      </c>
    </row>
    <row r="469" spans="1:20" ht="25.5">
      <c r="A469" s="61"/>
      <c r="B469" s="6">
        <v>453</v>
      </c>
      <c r="C469" s="36" t="s">
        <v>714</v>
      </c>
      <c r="D469" s="37" t="s">
        <v>715</v>
      </c>
      <c r="E469" s="11" t="s">
        <v>694</v>
      </c>
      <c r="F469" s="70" t="s">
        <v>2191</v>
      </c>
      <c r="G469" s="70" t="s">
        <v>29</v>
      </c>
      <c r="H469" s="70" t="s">
        <v>851</v>
      </c>
      <c r="I469" s="70" t="s">
        <v>776</v>
      </c>
      <c r="J469" s="70" t="s">
        <v>2191</v>
      </c>
      <c r="K469" s="70" t="s">
        <v>29</v>
      </c>
      <c r="L469" s="70" t="s">
        <v>595</v>
      </c>
      <c r="M469" s="6" t="s">
        <v>484</v>
      </c>
      <c r="N469" s="26">
        <v>228</v>
      </c>
      <c r="O469" s="57">
        <v>27</v>
      </c>
      <c r="P469" s="62">
        <f t="shared" si="8"/>
        <v>6156</v>
      </c>
      <c r="Q469" s="6" t="s">
        <v>395</v>
      </c>
      <c r="R469" s="6" t="s">
        <v>395</v>
      </c>
      <c r="S469" s="38" t="s">
        <v>2035</v>
      </c>
      <c r="T469" s="26">
        <v>0</v>
      </c>
    </row>
    <row r="470" spans="1:20" ht="51">
      <c r="A470" s="61"/>
      <c r="B470" s="6">
        <v>454</v>
      </c>
      <c r="C470" s="36" t="s">
        <v>714</v>
      </c>
      <c r="D470" s="37" t="s">
        <v>715</v>
      </c>
      <c r="E470" s="38" t="s">
        <v>695</v>
      </c>
      <c r="F470" s="70" t="s">
        <v>119</v>
      </c>
      <c r="G470" s="70" t="s">
        <v>119</v>
      </c>
      <c r="H470" s="70" t="s">
        <v>852</v>
      </c>
      <c r="I470" s="70" t="s">
        <v>696</v>
      </c>
      <c r="J470" s="70" t="s">
        <v>119</v>
      </c>
      <c r="K470" s="70" t="s">
        <v>119</v>
      </c>
      <c r="L470" s="70" t="s">
        <v>595</v>
      </c>
      <c r="M470" s="38" t="s">
        <v>648</v>
      </c>
      <c r="N470" s="26">
        <v>114</v>
      </c>
      <c r="O470" s="57">
        <v>103</v>
      </c>
      <c r="P470" s="62">
        <f t="shared" si="8"/>
        <v>11742</v>
      </c>
      <c r="Q470" s="6" t="s">
        <v>395</v>
      </c>
      <c r="R470" s="6" t="s">
        <v>395</v>
      </c>
      <c r="S470" s="38" t="s">
        <v>2035</v>
      </c>
      <c r="T470" s="26">
        <v>0</v>
      </c>
    </row>
    <row r="471" spans="1:20" ht="51">
      <c r="B471" s="6">
        <v>455</v>
      </c>
      <c r="C471" s="36" t="s">
        <v>714</v>
      </c>
      <c r="D471" s="37" t="s">
        <v>715</v>
      </c>
      <c r="E471" s="40" t="s">
        <v>426</v>
      </c>
      <c r="F471" s="70" t="s">
        <v>427</v>
      </c>
      <c r="G471" s="70" t="s">
        <v>428</v>
      </c>
      <c r="H471" s="70" t="s">
        <v>841</v>
      </c>
      <c r="I471" s="70" t="s">
        <v>429</v>
      </c>
      <c r="J471" s="70" t="s">
        <v>2312</v>
      </c>
      <c r="K471" s="70" t="s">
        <v>231</v>
      </c>
      <c r="L471" s="70" t="s">
        <v>595</v>
      </c>
      <c r="M471" s="12" t="s">
        <v>913</v>
      </c>
      <c r="N471" s="26">
        <v>360</v>
      </c>
      <c r="O471" s="57">
        <v>670</v>
      </c>
      <c r="P471" s="62">
        <f t="shared" si="8"/>
        <v>241200</v>
      </c>
      <c r="Q471" s="6" t="s">
        <v>397</v>
      </c>
      <c r="R471" s="6" t="s">
        <v>770</v>
      </c>
      <c r="S471" s="38" t="s">
        <v>2030</v>
      </c>
      <c r="T471" s="26">
        <v>0</v>
      </c>
    </row>
    <row r="472" spans="1:20" ht="63.75">
      <c r="B472" s="6">
        <v>456</v>
      </c>
      <c r="C472" s="36" t="s">
        <v>714</v>
      </c>
      <c r="D472" s="37" t="s">
        <v>715</v>
      </c>
      <c r="E472" s="38" t="s">
        <v>430</v>
      </c>
      <c r="F472" s="70" t="s">
        <v>842</v>
      </c>
      <c r="G472" s="70" t="s">
        <v>19</v>
      </c>
      <c r="H472" s="70" t="s">
        <v>843</v>
      </c>
      <c r="I472" s="70" t="s">
        <v>432</v>
      </c>
      <c r="J472" s="70" t="s">
        <v>842</v>
      </c>
      <c r="K472" s="70" t="s">
        <v>19</v>
      </c>
      <c r="L472" s="70" t="s">
        <v>595</v>
      </c>
      <c r="M472" s="6" t="s">
        <v>673</v>
      </c>
      <c r="N472" s="26">
        <v>30</v>
      </c>
      <c r="O472" s="57">
        <v>313</v>
      </c>
      <c r="P472" s="62">
        <f t="shared" si="8"/>
        <v>9390</v>
      </c>
      <c r="Q472" s="6" t="s">
        <v>397</v>
      </c>
      <c r="R472" s="6" t="s">
        <v>770</v>
      </c>
      <c r="S472" s="38" t="s">
        <v>2030</v>
      </c>
      <c r="T472" s="26">
        <v>0</v>
      </c>
    </row>
    <row r="473" spans="1:20" ht="51">
      <c r="B473" s="6">
        <v>457</v>
      </c>
      <c r="C473" s="36" t="s">
        <v>714</v>
      </c>
      <c r="D473" s="37" t="s">
        <v>715</v>
      </c>
      <c r="E473" s="11" t="s">
        <v>433</v>
      </c>
      <c r="F473" s="70" t="s">
        <v>844</v>
      </c>
      <c r="G473" s="70" t="s">
        <v>434</v>
      </c>
      <c r="H473" s="70" t="s">
        <v>845</v>
      </c>
      <c r="I473" s="70" t="s">
        <v>435</v>
      </c>
      <c r="J473" s="70" t="s">
        <v>844</v>
      </c>
      <c r="K473" s="70" t="s">
        <v>232</v>
      </c>
      <c r="L473" s="70" t="s">
        <v>595</v>
      </c>
      <c r="M473" s="12" t="s">
        <v>913</v>
      </c>
      <c r="N473" s="26">
        <v>60</v>
      </c>
      <c r="O473" s="57">
        <v>223</v>
      </c>
      <c r="P473" s="62">
        <f t="shared" si="8"/>
        <v>13380</v>
      </c>
      <c r="Q473" s="6" t="s">
        <v>397</v>
      </c>
      <c r="R473" s="6" t="s">
        <v>770</v>
      </c>
      <c r="S473" s="38" t="s">
        <v>2030</v>
      </c>
      <c r="T473" s="26">
        <v>0</v>
      </c>
    </row>
    <row r="474" spans="1:20" ht="51">
      <c r="B474" s="6">
        <v>458</v>
      </c>
      <c r="C474" s="36" t="s">
        <v>714</v>
      </c>
      <c r="D474" s="37" t="s">
        <v>715</v>
      </c>
      <c r="E474" s="12" t="s">
        <v>898</v>
      </c>
      <c r="F474" s="70" t="s">
        <v>771</v>
      </c>
      <c r="G474" s="70" t="s">
        <v>18</v>
      </c>
      <c r="H474" s="70" t="s">
        <v>2188</v>
      </c>
      <c r="I474" s="70" t="s">
        <v>674</v>
      </c>
      <c r="J474" s="70" t="s">
        <v>771</v>
      </c>
      <c r="K474" s="70" t="s">
        <v>18</v>
      </c>
      <c r="L474" s="70" t="s">
        <v>595</v>
      </c>
      <c r="M474" s="6" t="s">
        <v>484</v>
      </c>
      <c r="N474" s="26">
        <v>60</v>
      </c>
      <c r="O474" s="57">
        <v>179</v>
      </c>
      <c r="P474" s="62">
        <f t="shared" si="8"/>
        <v>10740</v>
      </c>
      <c r="Q474" s="6" t="s">
        <v>397</v>
      </c>
      <c r="R474" s="6" t="s">
        <v>770</v>
      </c>
      <c r="S474" s="38" t="s">
        <v>2030</v>
      </c>
      <c r="T474" s="26">
        <v>0</v>
      </c>
    </row>
    <row r="475" spans="1:20" ht="51">
      <c r="B475" s="6">
        <v>459</v>
      </c>
      <c r="C475" s="16" t="s">
        <v>714</v>
      </c>
      <c r="D475" s="37" t="s">
        <v>715</v>
      </c>
      <c r="E475" s="6" t="s">
        <v>677</v>
      </c>
      <c r="F475" s="70" t="s">
        <v>20</v>
      </c>
      <c r="G475" s="70" t="s">
        <v>1013</v>
      </c>
      <c r="H475" s="70" t="s">
        <v>2237</v>
      </c>
      <c r="I475" s="70" t="s">
        <v>1371</v>
      </c>
      <c r="J475" s="70" t="s">
        <v>20</v>
      </c>
      <c r="K475" s="70" t="s">
        <v>20</v>
      </c>
      <c r="L475" s="70" t="s">
        <v>595</v>
      </c>
      <c r="M475" s="38" t="s">
        <v>648</v>
      </c>
      <c r="N475" s="26">
        <v>60</v>
      </c>
      <c r="O475" s="57">
        <v>107</v>
      </c>
      <c r="P475" s="62">
        <f t="shared" si="8"/>
        <v>6420</v>
      </c>
      <c r="Q475" s="6" t="s">
        <v>397</v>
      </c>
      <c r="R475" s="6" t="s">
        <v>770</v>
      </c>
      <c r="S475" s="38" t="s">
        <v>2030</v>
      </c>
      <c r="T475" s="26">
        <v>0</v>
      </c>
    </row>
    <row r="476" spans="1:20" ht="51">
      <c r="B476" s="6">
        <v>460</v>
      </c>
      <c r="C476" s="36" t="s">
        <v>714</v>
      </c>
      <c r="D476" s="37" t="s">
        <v>715</v>
      </c>
      <c r="E476" s="11" t="s">
        <v>677</v>
      </c>
      <c r="F476" s="70" t="s">
        <v>21</v>
      </c>
      <c r="G476" s="70" t="s">
        <v>21</v>
      </c>
      <c r="H476" s="70" t="s">
        <v>2255</v>
      </c>
      <c r="I476" s="70" t="s">
        <v>678</v>
      </c>
      <c r="J476" s="70" t="s">
        <v>21</v>
      </c>
      <c r="K476" s="70" t="s">
        <v>21</v>
      </c>
      <c r="L476" s="70" t="s">
        <v>595</v>
      </c>
      <c r="M476" s="38" t="s">
        <v>648</v>
      </c>
      <c r="N476" s="26">
        <v>15</v>
      </c>
      <c r="O476" s="57">
        <v>1339</v>
      </c>
      <c r="P476" s="62">
        <f t="shared" si="8"/>
        <v>20085</v>
      </c>
      <c r="Q476" s="6" t="s">
        <v>397</v>
      </c>
      <c r="R476" s="6" t="s">
        <v>770</v>
      </c>
      <c r="S476" s="38" t="s">
        <v>2030</v>
      </c>
      <c r="T476" s="26">
        <v>0</v>
      </c>
    </row>
    <row r="477" spans="1:20" ht="63.75">
      <c r="B477" s="6">
        <v>461</v>
      </c>
      <c r="C477" s="16" t="s">
        <v>714</v>
      </c>
      <c r="D477" s="37" t="s">
        <v>715</v>
      </c>
      <c r="E477" s="11" t="s">
        <v>679</v>
      </c>
      <c r="F477" s="70" t="s">
        <v>2085</v>
      </c>
      <c r="G477" s="70" t="s">
        <v>22</v>
      </c>
      <c r="H477" s="70" t="s">
        <v>847</v>
      </c>
      <c r="I477" s="70" t="s">
        <v>773</v>
      </c>
      <c r="J477" s="70" t="s">
        <v>2085</v>
      </c>
      <c r="K477" s="70" t="s">
        <v>22</v>
      </c>
      <c r="L477" s="70" t="s">
        <v>595</v>
      </c>
      <c r="M477" s="6" t="s">
        <v>484</v>
      </c>
      <c r="N477" s="26">
        <v>360</v>
      </c>
      <c r="O477" s="57">
        <v>13</v>
      </c>
      <c r="P477" s="62">
        <f t="shared" si="8"/>
        <v>4680</v>
      </c>
      <c r="Q477" s="6" t="s">
        <v>397</v>
      </c>
      <c r="R477" s="6" t="s">
        <v>770</v>
      </c>
      <c r="S477" s="38" t="s">
        <v>2030</v>
      </c>
      <c r="T477" s="26">
        <v>0</v>
      </c>
    </row>
    <row r="478" spans="1:20" ht="51">
      <c r="B478" s="6">
        <v>462</v>
      </c>
      <c r="C478" s="36" t="s">
        <v>714</v>
      </c>
      <c r="D478" s="37" t="s">
        <v>715</v>
      </c>
      <c r="E478" s="6" t="s">
        <v>447</v>
      </c>
      <c r="F478" s="70" t="s">
        <v>448</v>
      </c>
      <c r="G478" s="70" t="s">
        <v>448</v>
      </c>
      <c r="H478" s="70" t="s">
        <v>449</v>
      </c>
      <c r="I478" s="70" t="s">
        <v>450</v>
      </c>
      <c r="J478" s="70" t="s">
        <v>233</v>
      </c>
      <c r="K478" s="70" t="s">
        <v>233</v>
      </c>
      <c r="L478" s="70" t="s">
        <v>595</v>
      </c>
      <c r="M478" s="38" t="s">
        <v>648</v>
      </c>
      <c r="N478" s="26">
        <v>90</v>
      </c>
      <c r="O478" s="57">
        <v>446</v>
      </c>
      <c r="P478" s="62">
        <f t="shared" si="8"/>
        <v>40140</v>
      </c>
      <c r="Q478" s="6" t="s">
        <v>397</v>
      </c>
      <c r="R478" s="6" t="s">
        <v>770</v>
      </c>
      <c r="S478" s="38" t="s">
        <v>2030</v>
      </c>
      <c r="T478" s="26">
        <v>0</v>
      </c>
    </row>
    <row r="479" spans="1:20" ht="51">
      <c r="B479" s="6">
        <v>463</v>
      </c>
      <c r="C479" s="36" t="s">
        <v>714</v>
      </c>
      <c r="D479" s="37" t="s">
        <v>715</v>
      </c>
      <c r="E479" s="11" t="s">
        <v>681</v>
      </c>
      <c r="F479" s="70" t="s">
        <v>2285</v>
      </c>
      <c r="G479" s="70" t="s">
        <v>23</v>
      </c>
      <c r="H479" s="70" t="s">
        <v>848</v>
      </c>
      <c r="I479" s="70" t="s">
        <v>682</v>
      </c>
      <c r="J479" s="70" t="s">
        <v>2285</v>
      </c>
      <c r="K479" s="70" t="s">
        <v>23</v>
      </c>
      <c r="L479" s="70" t="s">
        <v>595</v>
      </c>
      <c r="M479" s="38" t="s">
        <v>648</v>
      </c>
      <c r="N479" s="26">
        <v>90</v>
      </c>
      <c r="O479" s="57">
        <v>268</v>
      </c>
      <c r="P479" s="62">
        <f t="shared" si="8"/>
        <v>24120</v>
      </c>
      <c r="Q479" s="6" t="s">
        <v>397</v>
      </c>
      <c r="R479" s="6" t="s">
        <v>770</v>
      </c>
      <c r="S479" s="38" t="s">
        <v>2030</v>
      </c>
      <c r="T479" s="26">
        <v>0</v>
      </c>
    </row>
    <row r="480" spans="1:20" ht="51">
      <c r="B480" s="6">
        <v>464</v>
      </c>
      <c r="C480" s="36" t="s">
        <v>714</v>
      </c>
      <c r="D480" s="37" t="s">
        <v>715</v>
      </c>
      <c r="E480" s="11" t="s">
        <v>683</v>
      </c>
      <c r="F480" s="70" t="s">
        <v>24</v>
      </c>
      <c r="G480" s="70" t="s">
        <v>24</v>
      </c>
      <c r="H480" s="70" t="s">
        <v>2288</v>
      </c>
      <c r="I480" s="70" t="s">
        <v>684</v>
      </c>
      <c r="J480" s="70" t="s">
        <v>24</v>
      </c>
      <c r="K480" s="70" t="s">
        <v>24</v>
      </c>
      <c r="L480" s="70" t="s">
        <v>595</v>
      </c>
      <c r="M480" s="38" t="s">
        <v>648</v>
      </c>
      <c r="N480" s="26">
        <v>15</v>
      </c>
      <c r="O480" s="57">
        <v>223</v>
      </c>
      <c r="P480" s="62">
        <f t="shared" si="8"/>
        <v>3345</v>
      </c>
      <c r="Q480" s="6" t="s">
        <v>397</v>
      </c>
      <c r="R480" s="6" t="s">
        <v>770</v>
      </c>
      <c r="S480" s="38" t="s">
        <v>2030</v>
      </c>
      <c r="T480" s="26">
        <v>0</v>
      </c>
    </row>
    <row r="481" spans="2:20" ht="51">
      <c r="B481" s="6">
        <v>465</v>
      </c>
      <c r="C481" s="36" t="s">
        <v>714</v>
      </c>
      <c r="D481" s="37" t="s">
        <v>715</v>
      </c>
      <c r="E481" s="6" t="s">
        <v>453</v>
      </c>
      <c r="F481" s="70" t="s">
        <v>2287</v>
      </c>
      <c r="G481" s="70" t="s">
        <v>454</v>
      </c>
      <c r="H481" s="70" t="s">
        <v>2290</v>
      </c>
      <c r="I481" s="70" t="s">
        <v>455</v>
      </c>
      <c r="J481" s="70" t="s">
        <v>2287</v>
      </c>
      <c r="K481" s="70" t="s">
        <v>234</v>
      </c>
      <c r="L481" s="70" t="s">
        <v>595</v>
      </c>
      <c r="M481" s="6" t="s">
        <v>484</v>
      </c>
      <c r="N481" s="26">
        <v>90</v>
      </c>
      <c r="O481" s="57">
        <v>223</v>
      </c>
      <c r="P481" s="62">
        <f t="shared" si="8"/>
        <v>20070</v>
      </c>
      <c r="Q481" s="6" t="s">
        <v>397</v>
      </c>
      <c r="R481" s="6" t="s">
        <v>770</v>
      </c>
      <c r="S481" s="38" t="s">
        <v>2030</v>
      </c>
      <c r="T481" s="26">
        <v>0</v>
      </c>
    </row>
    <row r="482" spans="2:20" ht="51">
      <c r="B482" s="6">
        <v>466</v>
      </c>
      <c r="C482" s="36" t="s">
        <v>714</v>
      </c>
      <c r="D482" s="37" t="s">
        <v>715</v>
      </c>
      <c r="E482" s="6" t="s">
        <v>456</v>
      </c>
      <c r="F482" s="70" t="s">
        <v>457</v>
      </c>
      <c r="G482" s="70" t="s">
        <v>458</v>
      </c>
      <c r="H482" s="70" t="s">
        <v>459</v>
      </c>
      <c r="I482" s="70" t="s">
        <v>460</v>
      </c>
      <c r="J482" s="70" t="s">
        <v>457</v>
      </c>
      <c r="K482" s="70" t="s">
        <v>235</v>
      </c>
      <c r="L482" s="70" t="s">
        <v>595</v>
      </c>
      <c r="M482" s="6" t="s">
        <v>484</v>
      </c>
      <c r="N482" s="26">
        <v>90</v>
      </c>
      <c r="O482" s="57">
        <v>179</v>
      </c>
      <c r="P482" s="62">
        <f t="shared" si="8"/>
        <v>16110</v>
      </c>
      <c r="Q482" s="6" t="s">
        <v>397</v>
      </c>
      <c r="R482" s="6" t="s">
        <v>770</v>
      </c>
      <c r="S482" s="38" t="s">
        <v>2030</v>
      </c>
      <c r="T482" s="26">
        <v>0</v>
      </c>
    </row>
    <row r="483" spans="2:20" ht="51">
      <c r="B483" s="6">
        <v>467</v>
      </c>
      <c r="C483" s="36" t="s">
        <v>714</v>
      </c>
      <c r="D483" s="37" t="s">
        <v>715</v>
      </c>
      <c r="E483" s="6" t="s">
        <v>461</v>
      </c>
      <c r="F483" s="70" t="s">
        <v>17</v>
      </c>
      <c r="G483" s="70" t="s">
        <v>17</v>
      </c>
      <c r="H483" s="70" t="s">
        <v>2298</v>
      </c>
      <c r="I483" s="70" t="s">
        <v>2299</v>
      </c>
      <c r="J483" s="70" t="s">
        <v>17</v>
      </c>
      <c r="K483" s="70" t="s">
        <v>17</v>
      </c>
      <c r="L483" s="70" t="s">
        <v>595</v>
      </c>
      <c r="M483" s="38" t="s">
        <v>648</v>
      </c>
      <c r="N483" s="26">
        <v>30</v>
      </c>
      <c r="O483" s="57">
        <v>714</v>
      </c>
      <c r="P483" s="62">
        <f t="shared" si="8"/>
        <v>21420</v>
      </c>
      <c r="Q483" s="6" t="s">
        <v>397</v>
      </c>
      <c r="R483" s="6" t="s">
        <v>770</v>
      </c>
      <c r="S483" s="38" t="s">
        <v>2030</v>
      </c>
      <c r="T483" s="26">
        <v>0</v>
      </c>
    </row>
    <row r="484" spans="2:20" ht="51">
      <c r="B484" s="6">
        <v>468</v>
      </c>
      <c r="C484" s="36" t="s">
        <v>714</v>
      </c>
      <c r="D484" s="37" t="s">
        <v>715</v>
      </c>
      <c r="E484" s="12" t="s">
        <v>463</v>
      </c>
      <c r="F484" s="70" t="s">
        <v>1697</v>
      </c>
      <c r="G484" s="70" t="s">
        <v>464</v>
      </c>
      <c r="H484" s="70" t="s">
        <v>2223</v>
      </c>
      <c r="I484" s="70" t="s">
        <v>2224</v>
      </c>
      <c r="J484" s="70" t="s">
        <v>236</v>
      </c>
      <c r="K484" s="70" t="s">
        <v>236</v>
      </c>
      <c r="L484" s="70" t="s">
        <v>595</v>
      </c>
      <c r="M484" s="38" t="s">
        <v>648</v>
      </c>
      <c r="N484" s="26">
        <v>60</v>
      </c>
      <c r="O484" s="57">
        <v>161</v>
      </c>
      <c r="P484" s="62">
        <f t="shared" si="8"/>
        <v>9660</v>
      </c>
      <c r="Q484" s="6" t="s">
        <v>397</v>
      </c>
      <c r="R484" s="6" t="s">
        <v>770</v>
      </c>
      <c r="S484" s="38" t="s">
        <v>2030</v>
      </c>
      <c r="T484" s="26">
        <v>0</v>
      </c>
    </row>
    <row r="485" spans="2:20" ht="51">
      <c r="B485" s="6">
        <v>469</v>
      </c>
      <c r="C485" s="36" t="s">
        <v>714</v>
      </c>
      <c r="D485" s="37" t="s">
        <v>715</v>
      </c>
      <c r="E485" s="11" t="s">
        <v>687</v>
      </c>
      <c r="F485" s="70" t="s">
        <v>470</v>
      </c>
      <c r="G485" s="70" t="s">
        <v>467</v>
      </c>
      <c r="H485" s="70" t="s">
        <v>849</v>
      </c>
      <c r="I485" s="70" t="s">
        <v>774</v>
      </c>
      <c r="J485" s="70" t="s">
        <v>470</v>
      </c>
      <c r="K485" s="70" t="s">
        <v>467</v>
      </c>
      <c r="L485" s="70" t="s">
        <v>595</v>
      </c>
      <c r="M485" s="38" t="s">
        <v>648</v>
      </c>
      <c r="N485" s="26">
        <v>60</v>
      </c>
      <c r="O485" s="57">
        <v>161</v>
      </c>
      <c r="P485" s="62">
        <f t="shared" si="8"/>
        <v>9660</v>
      </c>
      <c r="Q485" s="6" t="s">
        <v>397</v>
      </c>
      <c r="R485" s="6" t="s">
        <v>770</v>
      </c>
      <c r="S485" s="38" t="s">
        <v>2030</v>
      </c>
      <c r="T485" s="26">
        <v>0</v>
      </c>
    </row>
    <row r="486" spans="2:20" ht="51">
      <c r="B486" s="6">
        <v>470</v>
      </c>
      <c r="C486" s="36" t="s">
        <v>714</v>
      </c>
      <c r="D486" s="37" t="s">
        <v>715</v>
      </c>
      <c r="E486" s="11" t="s">
        <v>688</v>
      </c>
      <c r="F486" s="70" t="s">
        <v>470</v>
      </c>
      <c r="G486" s="70" t="s">
        <v>25</v>
      </c>
      <c r="H486" s="70" t="s">
        <v>2199</v>
      </c>
      <c r="I486" s="70" t="s">
        <v>689</v>
      </c>
      <c r="J486" s="70" t="s">
        <v>470</v>
      </c>
      <c r="K486" s="70" t="s">
        <v>25</v>
      </c>
      <c r="L486" s="70" t="s">
        <v>595</v>
      </c>
      <c r="M486" s="38" t="s">
        <v>648</v>
      </c>
      <c r="N486" s="26">
        <v>60</v>
      </c>
      <c r="O486" s="57">
        <v>45</v>
      </c>
      <c r="P486" s="62">
        <f t="shared" si="8"/>
        <v>2700</v>
      </c>
      <c r="Q486" s="6" t="s">
        <v>397</v>
      </c>
      <c r="R486" s="6" t="s">
        <v>770</v>
      </c>
      <c r="S486" s="38" t="s">
        <v>2030</v>
      </c>
      <c r="T486" s="26">
        <v>0</v>
      </c>
    </row>
    <row r="487" spans="2:20" ht="51">
      <c r="B487" s="6">
        <v>471</v>
      </c>
      <c r="C487" s="16" t="s">
        <v>714</v>
      </c>
      <c r="D487" s="37" t="s">
        <v>715</v>
      </c>
      <c r="E487" s="11" t="s">
        <v>690</v>
      </c>
      <c r="F487" s="70" t="s">
        <v>2313</v>
      </c>
      <c r="G487" s="70" t="s">
        <v>26</v>
      </c>
      <c r="H487" s="70" t="s">
        <v>2314</v>
      </c>
      <c r="I487" s="70" t="s">
        <v>691</v>
      </c>
      <c r="J487" s="70" t="s">
        <v>2313</v>
      </c>
      <c r="K487" s="70" t="s">
        <v>26</v>
      </c>
      <c r="L487" s="70" t="s">
        <v>595</v>
      </c>
      <c r="M487" s="12" t="s">
        <v>913</v>
      </c>
      <c r="N487" s="26">
        <v>30</v>
      </c>
      <c r="O487" s="57">
        <v>134</v>
      </c>
      <c r="P487" s="62">
        <f t="shared" si="8"/>
        <v>4020</v>
      </c>
      <c r="Q487" s="6" t="s">
        <v>397</v>
      </c>
      <c r="R487" s="6" t="s">
        <v>770</v>
      </c>
      <c r="S487" s="38" t="s">
        <v>2030</v>
      </c>
      <c r="T487" s="26">
        <v>0</v>
      </c>
    </row>
    <row r="488" spans="2:20" ht="114.75">
      <c r="B488" s="6">
        <v>472</v>
      </c>
      <c r="C488" s="36" t="s">
        <v>714</v>
      </c>
      <c r="D488" s="37" t="s">
        <v>715</v>
      </c>
      <c r="E488" s="6" t="s">
        <v>474</v>
      </c>
      <c r="F488" s="70" t="s">
        <v>27</v>
      </c>
      <c r="G488" s="70" t="s">
        <v>27</v>
      </c>
      <c r="H488" s="70" t="s">
        <v>475</v>
      </c>
      <c r="I488" s="70" t="s">
        <v>476</v>
      </c>
      <c r="J488" s="70" t="s">
        <v>27</v>
      </c>
      <c r="K488" s="70" t="s">
        <v>27</v>
      </c>
      <c r="L488" s="70" t="s">
        <v>595</v>
      </c>
      <c r="M488" s="38" t="s">
        <v>648</v>
      </c>
      <c r="N488" s="26">
        <v>3</v>
      </c>
      <c r="O488" s="57">
        <v>2679</v>
      </c>
      <c r="P488" s="62">
        <f t="shared" si="8"/>
        <v>8037</v>
      </c>
      <c r="Q488" s="6" t="s">
        <v>397</v>
      </c>
      <c r="R488" s="6" t="s">
        <v>770</v>
      </c>
      <c r="S488" s="38" t="s">
        <v>2030</v>
      </c>
      <c r="T488" s="26">
        <v>0</v>
      </c>
    </row>
    <row r="489" spans="2:20" ht="51">
      <c r="B489" s="6">
        <v>473</v>
      </c>
      <c r="C489" s="36" t="s">
        <v>714</v>
      </c>
      <c r="D489" s="37" t="s">
        <v>715</v>
      </c>
      <c r="E489" s="6" t="s">
        <v>692</v>
      </c>
      <c r="F489" s="70" t="s">
        <v>850</v>
      </c>
      <c r="G489" s="70" t="s">
        <v>850</v>
      </c>
      <c r="H489" s="70" t="s">
        <v>775</v>
      </c>
      <c r="I489" s="70" t="s">
        <v>775</v>
      </c>
      <c r="J489" s="70" t="s">
        <v>850</v>
      </c>
      <c r="K489" s="70" t="s">
        <v>237</v>
      </c>
      <c r="L489" s="70" t="s">
        <v>595</v>
      </c>
      <c r="M489" s="38" t="s">
        <v>648</v>
      </c>
      <c r="N489" s="26">
        <v>360</v>
      </c>
      <c r="O489" s="57">
        <v>45</v>
      </c>
      <c r="P489" s="62">
        <f t="shared" si="8"/>
        <v>16200</v>
      </c>
      <c r="Q489" s="6" t="s">
        <v>397</v>
      </c>
      <c r="R489" s="6" t="s">
        <v>770</v>
      </c>
      <c r="S489" s="38" t="s">
        <v>2030</v>
      </c>
      <c r="T489" s="26">
        <v>0</v>
      </c>
    </row>
    <row r="490" spans="2:20" ht="51">
      <c r="B490" s="6">
        <v>474</v>
      </c>
      <c r="C490" s="36" t="s">
        <v>714</v>
      </c>
      <c r="D490" s="37" t="s">
        <v>715</v>
      </c>
      <c r="E490" s="6" t="s">
        <v>480</v>
      </c>
      <c r="F490" s="70" t="s">
        <v>481</v>
      </c>
      <c r="G490" s="70" t="s">
        <v>28</v>
      </c>
      <c r="H490" s="70" t="s">
        <v>482</v>
      </c>
      <c r="I490" s="70" t="s">
        <v>483</v>
      </c>
      <c r="J490" s="70" t="s">
        <v>481</v>
      </c>
      <c r="K490" s="70" t="s">
        <v>28</v>
      </c>
      <c r="L490" s="70" t="s">
        <v>595</v>
      </c>
      <c r="M490" s="38" t="s">
        <v>648</v>
      </c>
      <c r="N490" s="26">
        <v>15</v>
      </c>
      <c r="O490" s="57">
        <v>759</v>
      </c>
      <c r="P490" s="62">
        <f t="shared" si="8"/>
        <v>11385</v>
      </c>
      <c r="Q490" s="6" t="s">
        <v>397</v>
      </c>
      <c r="R490" s="6" t="s">
        <v>770</v>
      </c>
      <c r="S490" s="38" t="s">
        <v>2030</v>
      </c>
      <c r="T490" s="26">
        <v>0</v>
      </c>
    </row>
    <row r="491" spans="2:20" ht="51">
      <c r="B491" s="6">
        <v>475</v>
      </c>
      <c r="C491" s="36" t="s">
        <v>714</v>
      </c>
      <c r="D491" s="37" t="s">
        <v>715</v>
      </c>
      <c r="E491" s="11" t="s">
        <v>694</v>
      </c>
      <c r="F491" s="70" t="s">
        <v>2191</v>
      </c>
      <c r="G491" s="70" t="s">
        <v>29</v>
      </c>
      <c r="H491" s="70" t="s">
        <v>851</v>
      </c>
      <c r="I491" s="70" t="s">
        <v>776</v>
      </c>
      <c r="J491" s="70" t="s">
        <v>2191</v>
      </c>
      <c r="K491" s="70" t="s">
        <v>29</v>
      </c>
      <c r="L491" s="70" t="s">
        <v>595</v>
      </c>
      <c r="M491" s="6" t="s">
        <v>484</v>
      </c>
      <c r="N491" s="26">
        <v>180</v>
      </c>
      <c r="O491" s="57">
        <v>27</v>
      </c>
      <c r="P491" s="62">
        <f t="shared" si="8"/>
        <v>4860</v>
      </c>
      <c r="Q491" s="6" t="s">
        <v>397</v>
      </c>
      <c r="R491" s="6" t="s">
        <v>770</v>
      </c>
      <c r="S491" s="38" t="s">
        <v>2030</v>
      </c>
      <c r="T491" s="26">
        <v>0</v>
      </c>
    </row>
    <row r="492" spans="2:20" ht="51">
      <c r="B492" s="6">
        <v>476</v>
      </c>
      <c r="C492" s="36" t="s">
        <v>714</v>
      </c>
      <c r="D492" s="37" t="s">
        <v>715</v>
      </c>
      <c r="E492" s="38" t="s">
        <v>695</v>
      </c>
      <c r="F492" s="70" t="s">
        <v>119</v>
      </c>
      <c r="G492" s="70" t="s">
        <v>119</v>
      </c>
      <c r="H492" s="70" t="s">
        <v>852</v>
      </c>
      <c r="I492" s="70" t="s">
        <v>696</v>
      </c>
      <c r="J492" s="70" t="s">
        <v>119</v>
      </c>
      <c r="K492" s="70" t="s">
        <v>119</v>
      </c>
      <c r="L492" s="70" t="s">
        <v>595</v>
      </c>
      <c r="M492" s="38" t="s">
        <v>648</v>
      </c>
      <c r="N492" s="26">
        <v>90</v>
      </c>
      <c r="O492" s="57">
        <v>103</v>
      </c>
      <c r="P492" s="62">
        <f t="shared" si="8"/>
        <v>9270</v>
      </c>
      <c r="Q492" s="6" t="s">
        <v>397</v>
      </c>
      <c r="R492" s="6" t="s">
        <v>397</v>
      </c>
      <c r="S492" s="38" t="s">
        <v>2030</v>
      </c>
      <c r="T492" s="26">
        <v>100</v>
      </c>
    </row>
    <row r="493" spans="2:20" ht="51">
      <c r="B493" s="6">
        <v>477</v>
      </c>
      <c r="C493" s="36" t="s">
        <v>714</v>
      </c>
      <c r="D493" s="37" t="s">
        <v>715</v>
      </c>
      <c r="E493" s="40" t="s">
        <v>426</v>
      </c>
      <c r="F493" s="70" t="s">
        <v>427</v>
      </c>
      <c r="G493" s="70" t="s">
        <v>428</v>
      </c>
      <c r="H493" s="70" t="s">
        <v>841</v>
      </c>
      <c r="I493" s="70" t="s">
        <v>429</v>
      </c>
      <c r="J493" s="70" t="s">
        <v>2312</v>
      </c>
      <c r="K493" s="70" t="s">
        <v>231</v>
      </c>
      <c r="L493" s="70" t="s">
        <v>595</v>
      </c>
      <c r="M493" s="12" t="s">
        <v>913</v>
      </c>
      <c r="N493" s="26">
        <v>312</v>
      </c>
      <c r="O493" s="57">
        <v>670</v>
      </c>
      <c r="P493" s="62">
        <f t="shared" si="8"/>
        <v>209040</v>
      </c>
      <c r="Q493" s="6" t="s">
        <v>395</v>
      </c>
      <c r="R493" s="6" t="s">
        <v>770</v>
      </c>
      <c r="S493" s="38" t="s">
        <v>793</v>
      </c>
      <c r="T493" s="6">
        <v>0</v>
      </c>
    </row>
    <row r="494" spans="2:20" ht="63.75">
      <c r="B494" s="6">
        <v>478</v>
      </c>
      <c r="C494" s="36" t="s">
        <v>714</v>
      </c>
      <c r="D494" s="37" t="s">
        <v>715</v>
      </c>
      <c r="E494" s="38" t="s">
        <v>430</v>
      </c>
      <c r="F494" s="70" t="s">
        <v>842</v>
      </c>
      <c r="G494" s="70" t="s">
        <v>19</v>
      </c>
      <c r="H494" s="70" t="s">
        <v>843</v>
      </c>
      <c r="I494" s="70" t="s">
        <v>432</v>
      </c>
      <c r="J494" s="70" t="s">
        <v>842</v>
      </c>
      <c r="K494" s="70" t="s">
        <v>19</v>
      </c>
      <c r="L494" s="70" t="s">
        <v>595</v>
      </c>
      <c r="M494" s="6" t="s">
        <v>673</v>
      </c>
      <c r="N494" s="26">
        <v>26</v>
      </c>
      <c r="O494" s="57">
        <v>313</v>
      </c>
      <c r="P494" s="62">
        <f t="shared" si="8"/>
        <v>8138</v>
      </c>
      <c r="Q494" s="6" t="s">
        <v>395</v>
      </c>
      <c r="R494" s="6" t="s">
        <v>770</v>
      </c>
      <c r="S494" s="38" t="s">
        <v>793</v>
      </c>
      <c r="T494" s="6">
        <v>0</v>
      </c>
    </row>
    <row r="495" spans="2:20" ht="51">
      <c r="B495" s="6">
        <v>479</v>
      </c>
      <c r="C495" s="36" t="s">
        <v>714</v>
      </c>
      <c r="D495" s="37" t="s">
        <v>715</v>
      </c>
      <c r="E495" s="11" t="s">
        <v>433</v>
      </c>
      <c r="F495" s="70" t="s">
        <v>844</v>
      </c>
      <c r="G495" s="70" t="s">
        <v>434</v>
      </c>
      <c r="H495" s="70" t="s">
        <v>845</v>
      </c>
      <c r="I495" s="70" t="s">
        <v>435</v>
      </c>
      <c r="J495" s="70" t="s">
        <v>844</v>
      </c>
      <c r="K495" s="70" t="s">
        <v>232</v>
      </c>
      <c r="L495" s="70" t="s">
        <v>595</v>
      </c>
      <c r="M495" s="12" t="s">
        <v>913</v>
      </c>
      <c r="N495" s="26">
        <v>52</v>
      </c>
      <c r="O495" s="57">
        <v>223</v>
      </c>
      <c r="P495" s="62">
        <f t="shared" si="8"/>
        <v>11596</v>
      </c>
      <c r="Q495" s="6" t="s">
        <v>395</v>
      </c>
      <c r="R495" s="6" t="s">
        <v>770</v>
      </c>
      <c r="S495" s="38" t="s">
        <v>793</v>
      </c>
      <c r="T495" s="6">
        <v>0</v>
      </c>
    </row>
    <row r="496" spans="2:20" ht="76.5">
      <c r="B496" s="6">
        <v>480</v>
      </c>
      <c r="C496" s="36" t="s">
        <v>714</v>
      </c>
      <c r="D496" s="37" t="s">
        <v>715</v>
      </c>
      <c r="E496" s="11" t="s">
        <v>846</v>
      </c>
      <c r="F496" s="70" t="s">
        <v>771</v>
      </c>
      <c r="G496" s="70" t="s">
        <v>18</v>
      </c>
      <c r="H496" s="70" t="s">
        <v>2200</v>
      </c>
      <c r="I496" s="70" t="s">
        <v>1033</v>
      </c>
      <c r="J496" s="70" t="s">
        <v>771</v>
      </c>
      <c r="K496" s="70" t="s">
        <v>18</v>
      </c>
      <c r="L496" s="70" t="s">
        <v>595</v>
      </c>
      <c r="M496" s="6" t="s">
        <v>648</v>
      </c>
      <c r="N496" s="26">
        <v>52</v>
      </c>
      <c r="O496" s="57">
        <v>179</v>
      </c>
      <c r="P496" s="62">
        <f t="shared" si="8"/>
        <v>9308</v>
      </c>
      <c r="Q496" s="6" t="s">
        <v>395</v>
      </c>
      <c r="R496" s="6" t="s">
        <v>770</v>
      </c>
      <c r="S496" s="38" t="s">
        <v>793</v>
      </c>
      <c r="T496" s="6">
        <v>0</v>
      </c>
    </row>
    <row r="497" spans="2:20" ht="51">
      <c r="B497" s="6">
        <v>481</v>
      </c>
      <c r="C497" s="16" t="s">
        <v>714</v>
      </c>
      <c r="D497" s="37" t="s">
        <v>715</v>
      </c>
      <c r="E497" s="6" t="s">
        <v>441</v>
      </c>
      <c r="F497" s="70" t="s">
        <v>20</v>
      </c>
      <c r="G497" s="70" t="s">
        <v>20</v>
      </c>
      <c r="H497" s="70" t="s">
        <v>442</v>
      </c>
      <c r="I497" s="70" t="s">
        <v>443</v>
      </c>
      <c r="J497" s="70" t="s">
        <v>20</v>
      </c>
      <c r="K497" s="70" t="s">
        <v>20</v>
      </c>
      <c r="L497" s="70" t="s">
        <v>595</v>
      </c>
      <c r="M497" s="38" t="s">
        <v>648</v>
      </c>
      <c r="N497" s="26">
        <v>52</v>
      </c>
      <c r="O497" s="57">
        <v>107</v>
      </c>
      <c r="P497" s="62">
        <f t="shared" si="8"/>
        <v>5564</v>
      </c>
      <c r="Q497" s="6" t="s">
        <v>395</v>
      </c>
      <c r="R497" s="6" t="s">
        <v>770</v>
      </c>
      <c r="S497" s="38" t="s">
        <v>793</v>
      </c>
      <c r="T497" s="6">
        <v>0</v>
      </c>
    </row>
    <row r="498" spans="2:20" ht="51">
      <c r="B498" s="6">
        <v>482</v>
      </c>
      <c r="C498" s="36" t="s">
        <v>714</v>
      </c>
      <c r="D498" s="37" t="s">
        <v>715</v>
      </c>
      <c r="E498" s="6" t="s">
        <v>444</v>
      </c>
      <c r="F498" s="70" t="s">
        <v>21</v>
      </c>
      <c r="G498" s="70" t="s">
        <v>21</v>
      </c>
      <c r="H498" s="70" t="s">
        <v>445</v>
      </c>
      <c r="I498" s="70" t="s">
        <v>446</v>
      </c>
      <c r="J498" s="70" t="s">
        <v>21</v>
      </c>
      <c r="K498" s="70" t="s">
        <v>21</v>
      </c>
      <c r="L498" s="70" t="s">
        <v>595</v>
      </c>
      <c r="M498" s="38" t="s">
        <v>648</v>
      </c>
      <c r="N498" s="26">
        <v>13</v>
      </c>
      <c r="O498" s="57">
        <v>1339</v>
      </c>
      <c r="P498" s="62">
        <f t="shared" si="8"/>
        <v>17407</v>
      </c>
      <c r="Q498" s="6" t="s">
        <v>395</v>
      </c>
      <c r="R498" s="6" t="s">
        <v>770</v>
      </c>
      <c r="S498" s="38" t="s">
        <v>793</v>
      </c>
      <c r="T498" s="6">
        <v>0</v>
      </c>
    </row>
    <row r="499" spans="2:20" ht="63.75">
      <c r="B499" s="6">
        <v>483</v>
      </c>
      <c r="C499" s="16" t="s">
        <v>714</v>
      </c>
      <c r="D499" s="37" t="s">
        <v>715</v>
      </c>
      <c r="E499" s="11" t="s">
        <v>679</v>
      </c>
      <c r="F499" s="70" t="s">
        <v>2085</v>
      </c>
      <c r="G499" s="70" t="s">
        <v>22</v>
      </c>
      <c r="H499" s="70" t="s">
        <v>847</v>
      </c>
      <c r="I499" s="70" t="s">
        <v>773</v>
      </c>
      <c r="J499" s="70" t="s">
        <v>2085</v>
      </c>
      <c r="K499" s="70" t="s">
        <v>22</v>
      </c>
      <c r="L499" s="70" t="s">
        <v>595</v>
      </c>
      <c r="M499" s="6" t="s">
        <v>484</v>
      </c>
      <c r="N499" s="26">
        <v>312</v>
      </c>
      <c r="O499" s="57">
        <v>13</v>
      </c>
      <c r="P499" s="62">
        <f t="shared" si="8"/>
        <v>4056</v>
      </c>
      <c r="Q499" s="6" t="s">
        <v>395</v>
      </c>
      <c r="R499" s="6" t="s">
        <v>770</v>
      </c>
      <c r="S499" s="38" t="s">
        <v>793</v>
      </c>
      <c r="T499" s="6">
        <v>0</v>
      </c>
    </row>
    <row r="500" spans="2:20" ht="51">
      <c r="B500" s="6">
        <v>484</v>
      </c>
      <c r="C500" s="36" t="s">
        <v>714</v>
      </c>
      <c r="D500" s="37" t="s">
        <v>715</v>
      </c>
      <c r="E500" s="6" t="s">
        <v>447</v>
      </c>
      <c r="F500" s="70" t="s">
        <v>448</v>
      </c>
      <c r="G500" s="70" t="s">
        <v>448</v>
      </c>
      <c r="H500" s="70" t="s">
        <v>449</v>
      </c>
      <c r="I500" s="70" t="s">
        <v>450</v>
      </c>
      <c r="J500" s="70" t="s">
        <v>233</v>
      </c>
      <c r="K500" s="70" t="s">
        <v>233</v>
      </c>
      <c r="L500" s="70" t="s">
        <v>595</v>
      </c>
      <c r="M500" s="38" t="s">
        <v>648</v>
      </c>
      <c r="N500" s="26">
        <v>78</v>
      </c>
      <c r="O500" s="57">
        <v>446</v>
      </c>
      <c r="P500" s="62">
        <f t="shared" si="8"/>
        <v>34788</v>
      </c>
      <c r="Q500" s="6" t="s">
        <v>395</v>
      </c>
      <c r="R500" s="6" t="s">
        <v>770</v>
      </c>
      <c r="S500" s="38" t="s">
        <v>793</v>
      </c>
      <c r="T500" s="6">
        <v>0</v>
      </c>
    </row>
    <row r="501" spans="2:20" ht="51">
      <c r="B501" s="6">
        <v>485</v>
      </c>
      <c r="C501" s="36" t="s">
        <v>714</v>
      </c>
      <c r="D501" s="37" t="s">
        <v>715</v>
      </c>
      <c r="E501" s="11" t="s">
        <v>681</v>
      </c>
      <c r="F501" s="70" t="s">
        <v>2285</v>
      </c>
      <c r="G501" s="70" t="s">
        <v>23</v>
      </c>
      <c r="H501" s="70" t="s">
        <v>848</v>
      </c>
      <c r="I501" s="70" t="s">
        <v>682</v>
      </c>
      <c r="J501" s="70" t="s">
        <v>2285</v>
      </c>
      <c r="K501" s="70" t="s">
        <v>23</v>
      </c>
      <c r="L501" s="70" t="s">
        <v>595</v>
      </c>
      <c r="M501" s="38" t="s">
        <v>648</v>
      </c>
      <c r="N501" s="26">
        <v>78</v>
      </c>
      <c r="O501" s="57">
        <v>268</v>
      </c>
      <c r="P501" s="62">
        <f t="shared" si="8"/>
        <v>20904</v>
      </c>
      <c r="Q501" s="6" t="s">
        <v>395</v>
      </c>
      <c r="R501" s="6" t="s">
        <v>770</v>
      </c>
      <c r="S501" s="38" t="s">
        <v>793</v>
      </c>
      <c r="T501" s="6">
        <v>0</v>
      </c>
    </row>
    <row r="502" spans="2:20" ht="51">
      <c r="B502" s="6">
        <v>486</v>
      </c>
      <c r="C502" s="36" t="s">
        <v>714</v>
      </c>
      <c r="D502" s="37" t="s">
        <v>715</v>
      </c>
      <c r="E502" s="6" t="s">
        <v>451</v>
      </c>
      <c r="F502" s="70" t="s">
        <v>24</v>
      </c>
      <c r="G502" s="70" t="s">
        <v>24</v>
      </c>
      <c r="H502" s="70" t="s">
        <v>2289</v>
      </c>
      <c r="I502" s="70" t="s">
        <v>452</v>
      </c>
      <c r="J502" s="70" t="s">
        <v>24</v>
      </c>
      <c r="K502" s="70" t="s">
        <v>24</v>
      </c>
      <c r="L502" s="70" t="s">
        <v>595</v>
      </c>
      <c r="M502" s="38" t="s">
        <v>648</v>
      </c>
      <c r="N502" s="26">
        <v>13</v>
      </c>
      <c r="O502" s="57">
        <v>223</v>
      </c>
      <c r="P502" s="62">
        <f t="shared" si="8"/>
        <v>2899</v>
      </c>
      <c r="Q502" s="6" t="s">
        <v>395</v>
      </c>
      <c r="R502" s="6" t="s">
        <v>770</v>
      </c>
      <c r="S502" s="38" t="s">
        <v>793</v>
      </c>
      <c r="T502" s="6">
        <v>0</v>
      </c>
    </row>
    <row r="503" spans="2:20" ht="51">
      <c r="B503" s="6">
        <v>487</v>
      </c>
      <c r="C503" s="36" t="s">
        <v>714</v>
      </c>
      <c r="D503" s="37" t="s">
        <v>715</v>
      </c>
      <c r="E503" s="6" t="s">
        <v>453</v>
      </c>
      <c r="F503" s="70" t="s">
        <v>2287</v>
      </c>
      <c r="G503" s="70" t="s">
        <v>454</v>
      </c>
      <c r="H503" s="70" t="s">
        <v>2290</v>
      </c>
      <c r="I503" s="70" t="s">
        <v>455</v>
      </c>
      <c r="J503" s="70" t="s">
        <v>2287</v>
      </c>
      <c r="K503" s="70" t="s">
        <v>234</v>
      </c>
      <c r="L503" s="70" t="s">
        <v>595</v>
      </c>
      <c r="M503" s="6" t="s">
        <v>484</v>
      </c>
      <c r="N503" s="26">
        <v>78</v>
      </c>
      <c r="O503" s="57">
        <v>223</v>
      </c>
      <c r="P503" s="62">
        <f t="shared" si="8"/>
        <v>17394</v>
      </c>
      <c r="Q503" s="6" t="s">
        <v>395</v>
      </c>
      <c r="R503" s="6" t="s">
        <v>770</v>
      </c>
      <c r="S503" s="38" t="s">
        <v>793</v>
      </c>
      <c r="T503" s="6">
        <v>0</v>
      </c>
    </row>
    <row r="504" spans="2:20" ht="51">
      <c r="B504" s="6">
        <v>488</v>
      </c>
      <c r="C504" s="36" t="s">
        <v>714</v>
      </c>
      <c r="D504" s="37" t="s">
        <v>715</v>
      </c>
      <c r="E504" s="6" t="s">
        <v>456</v>
      </c>
      <c r="F504" s="70" t="s">
        <v>457</v>
      </c>
      <c r="G504" s="70" t="s">
        <v>458</v>
      </c>
      <c r="H504" s="70" t="s">
        <v>459</v>
      </c>
      <c r="I504" s="70" t="s">
        <v>460</v>
      </c>
      <c r="J504" s="70" t="s">
        <v>457</v>
      </c>
      <c r="K504" s="70" t="s">
        <v>235</v>
      </c>
      <c r="L504" s="70" t="s">
        <v>595</v>
      </c>
      <c r="M504" s="6" t="s">
        <v>484</v>
      </c>
      <c r="N504" s="26">
        <v>78</v>
      </c>
      <c r="O504" s="57">
        <v>179</v>
      </c>
      <c r="P504" s="62">
        <f t="shared" si="8"/>
        <v>13962</v>
      </c>
      <c r="Q504" s="6" t="s">
        <v>395</v>
      </c>
      <c r="R504" s="6" t="s">
        <v>770</v>
      </c>
      <c r="S504" s="38" t="s">
        <v>793</v>
      </c>
      <c r="T504" s="6">
        <v>0</v>
      </c>
    </row>
    <row r="505" spans="2:20" ht="51">
      <c r="B505" s="6">
        <v>489</v>
      </c>
      <c r="C505" s="36" t="s">
        <v>714</v>
      </c>
      <c r="D505" s="37" t="s">
        <v>715</v>
      </c>
      <c r="E505" s="6" t="s">
        <v>461</v>
      </c>
      <c r="F505" s="70" t="s">
        <v>17</v>
      </c>
      <c r="G505" s="70" t="s">
        <v>17</v>
      </c>
      <c r="H505" s="70" t="s">
        <v>2298</v>
      </c>
      <c r="I505" s="70" t="s">
        <v>2299</v>
      </c>
      <c r="J505" s="70" t="s">
        <v>17</v>
      </c>
      <c r="K505" s="70" t="s">
        <v>17</v>
      </c>
      <c r="L505" s="70" t="s">
        <v>595</v>
      </c>
      <c r="M505" s="38" t="s">
        <v>648</v>
      </c>
      <c r="N505" s="26">
        <v>26</v>
      </c>
      <c r="O505" s="57">
        <v>714</v>
      </c>
      <c r="P505" s="62">
        <f t="shared" si="8"/>
        <v>18564</v>
      </c>
      <c r="Q505" s="6" t="s">
        <v>395</v>
      </c>
      <c r="R505" s="6" t="s">
        <v>770</v>
      </c>
      <c r="S505" s="38" t="s">
        <v>793</v>
      </c>
      <c r="T505" s="6">
        <v>0</v>
      </c>
    </row>
    <row r="506" spans="2:20" ht="51">
      <c r="B506" s="6">
        <v>490</v>
      </c>
      <c r="C506" s="36" t="s">
        <v>714</v>
      </c>
      <c r="D506" s="37" t="s">
        <v>715</v>
      </c>
      <c r="E506" s="12" t="s">
        <v>463</v>
      </c>
      <c r="F506" s="70" t="s">
        <v>1697</v>
      </c>
      <c r="G506" s="70" t="s">
        <v>464</v>
      </c>
      <c r="H506" s="70" t="s">
        <v>2223</v>
      </c>
      <c r="I506" s="70" t="s">
        <v>2224</v>
      </c>
      <c r="J506" s="70" t="s">
        <v>236</v>
      </c>
      <c r="K506" s="70" t="s">
        <v>236</v>
      </c>
      <c r="L506" s="70" t="s">
        <v>595</v>
      </c>
      <c r="M506" s="38" t="s">
        <v>648</v>
      </c>
      <c r="N506" s="26">
        <v>52</v>
      </c>
      <c r="O506" s="57">
        <v>161</v>
      </c>
      <c r="P506" s="62">
        <f t="shared" si="8"/>
        <v>8372</v>
      </c>
      <c r="Q506" s="6" t="s">
        <v>395</v>
      </c>
      <c r="R506" s="6" t="s">
        <v>770</v>
      </c>
      <c r="S506" s="38" t="s">
        <v>793</v>
      </c>
      <c r="T506" s="6">
        <v>0</v>
      </c>
    </row>
    <row r="507" spans="2:20" ht="51">
      <c r="B507" s="6">
        <v>491</v>
      </c>
      <c r="C507" s="36" t="s">
        <v>714</v>
      </c>
      <c r="D507" s="37" t="s">
        <v>715</v>
      </c>
      <c r="E507" s="11" t="s">
        <v>687</v>
      </c>
      <c r="F507" s="70" t="s">
        <v>470</v>
      </c>
      <c r="G507" s="70" t="s">
        <v>467</v>
      </c>
      <c r="H507" s="70" t="s">
        <v>849</v>
      </c>
      <c r="I507" s="70" t="s">
        <v>774</v>
      </c>
      <c r="J507" s="70" t="s">
        <v>470</v>
      </c>
      <c r="K507" s="70" t="s">
        <v>467</v>
      </c>
      <c r="L507" s="70" t="s">
        <v>595</v>
      </c>
      <c r="M507" s="38" t="s">
        <v>648</v>
      </c>
      <c r="N507" s="26">
        <v>52</v>
      </c>
      <c r="O507" s="57">
        <v>161</v>
      </c>
      <c r="P507" s="62">
        <f t="shared" si="8"/>
        <v>8372</v>
      </c>
      <c r="Q507" s="6" t="s">
        <v>395</v>
      </c>
      <c r="R507" s="6" t="s">
        <v>770</v>
      </c>
      <c r="S507" s="38" t="s">
        <v>793</v>
      </c>
      <c r="T507" s="6">
        <v>0</v>
      </c>
    </row>
    <row r="508" spans="2:20" ht="51">
      <c r="B508" s="6">
        <v>492</v>
      </c>
      <c r="C508" s="36" t="s">
        <v>714</v>
      </c>
      <c r="D508" s="37" t="s">
        <v>715</v>
      </c>
      <c r="E508" s="11" t="s">
        <v>688</v>
      </c>
      <c r="F508" s="70" t="s">
        <v>470</v>
      </c>
      <c r="G508" s="70" t="s">
        <v>25</v>
      </c>
      <c r="H508" s="70" t="s">
        <v>2199</v>
      </c>
      <c r="I508" s="70" t="s">
        <v>689</v>
      </c>
      <c r="J508" s="70" t="s">
        <v>470</v>
      </c>
      <c r="K508" s="70" t="s">
        <v>25</v>
      </c>
      <c r="L508" s="70" t="s">
        <v>595</v>
      </c>
      <c r="M508" s="38" t="s">
        <v>648</v>
      </c>
      <c r="N508" s="26">
        <v>52</v>
      </c>
      <c r="O508" s="57">
        <v>45</v>
      </c>
      <c r="P508" s="62">
        <f t="shared" si="8"/>
        <v>2340</v>
      </c>
      <c r="Q508" s="6" t="s">
        <v>395</v>
      </c>
      <c r="R508" s="6" t="s">
        <v>770</v>
      </c>
      <c r="S508" s="38" t="s">
        <v>793</v>
      </c>
      <c r="T508" s="6">
        <v>0</v>
      </c>
    </row>
    <row r="509" spans="2:20" ht="51">
      <c r="B509" s="6">
        <v>493</v>
      </c>
      <c r="C509" s="36" t="s">
        <v>714</v>
      </c>
      <c r="D509" s="37" t="s">
        <v>715</v>
      </c>
      <c r="E509" s="6" t="s">
        <v>472</v>
      </c>
      <c r="F509" s="70" t="s">
        <v>2313</v>
      </c>
      <c r="G509" s="70" t="s">
        <v>26</v>
      </c>
      <c r="H509" s="70" t="s">
        <v>1726</v>
      </c>
      <c r="I509" s="70" t="s">
        <v>473</v>
      </c>
      <c r="J509" s="70" t="s">
        <v>2313</v>
      </c>
      <c r="K509" s="70" t="s">
        <v>26</v>
      </c>
      <c r="L509" s="70" t="s">
        <v>595</v>
      </c>
      <c r="M509" s="12" t="s">
        <v>913</v>
      </c>
      <c r="N509" s="26">
        <v>26</v>
      </c>
      <c r="O509" s="57">
        <v>134</v>
      </c>
      <c r="P509" s="62">
        <f t="shared" si="8"/>
        <v>3484</v>
      </c>
      <c r="Q509" s="6" t="s">
        <v>395</v>
      </c>
      <c r="R509" s="6" t="s">
        <v>770</v>
      </c>
      <c r="S509" s="38" t="s">
        <v>793</v>
      </c>
      <c r="T509" s="6">
        <v>0</v>
      </c>
    </row>
    <row r="510" spans="2:20" ht="114.75">
      <c r="B510" s="6">
        <v>494</v>
      </c>
      <c r="C510" s="36" t="s">
        <v>714</v>
      </c>
      <c r="D510" s="37" t="s">
        <v>715</v>
      </c>
      <c r="E510" s="6" t="s">
        <v>474</v>
      </c>
      <c r="F510" s="70" t="s">
        <v>27</v>
      </c>
      <c r="G510" s="70" t="s">
        <v>27</v>
      </c>
      <c r="H510" s="70" t="s">
        <v>475</v>
      </c>
      <c r="I510" s="70" t="s">
        <v>476</v>
      </c>
      <c r="J510" s="70" t="s">
        <v>27</v>
      </c>
      <c r="K510" s="70" t="s">
        <v>27</v>
      </c>
      <c r="L510" s="70" t="s">
        <v>595</v>
      </c>
      <c r="M510" s="38" t="s">
        <v>648</v>
      </c>
      <c r="N510" s="26">
        <v>3</v>
      </c>
      <c r="O510" s="57">
        <v>2679</v>
      </c>
      <c r="P510" s="62">
        <f t="shared" si="8"/>
        <v>8037</v>
      </c>
      <c r="Q510" s="6" t="s">
        <v>395</v>
      </c>
      <c r="R510" s="6" t="s">
        <v>770</v>
      </c>
      <c r="S510" s="38" t="s">
        <v>793</v>
      </c>
      <c r="T510" s="6">
        <v>0</v>
      </c>
    </row>
    <row r="511" spans="2:20" ht="51">
      <c r="B511" s="6">
        <v>495</v>
      </c>
      <c r="C511" s="36" t="s">
        <v>714</v>
      </c>
      <c r="D511" s="37" t="s">
        <v>715</v>
      </c>
      <c r="E511" s="11" t="s">
        <v>692</v>
      </c>
      <c r="F511" s="70" t="s">
        <v>850</v>
      </c>
      <c r="G511" s="70" t="s">
        <v>850</v>
      </c>
      <c r="H511" s="70" t="s">
        <v>775</v>
      </c>
      <c r="I511" s="70" t="s">
        <v>775</v>
      </c>
      <c r="J511" s="70" t="s">
        <v>850</v>
      </c>
      <c r="K511" s="70" t="s">
        <v>237</v>
      </c>
      <c r="L511" s="70" t="s">
        <v>595</v>
      </c>
      <c r="M511" s="38" t="s">
        <v>648</v>
      </c>
      <c r="N511" s="26">
        <v>312</v>
      </c>
      <c r="O511" s="57">
        <v>45</v>
      </c>
      <c r="P511" s="62">
        <f t="shared" si="8"/>
        <v>14040</v>
      </c>
      <c r="Q511" s="6" t="s">
        <v>395</v>
      </c>
      <c r="R511" s="6" t="s">
        <v>770</v>
      </c>
      <c r="S511" s="38" t="s">
        <v>793</v>
      </c>
      <c r="T511" s="6">
        <v>0</v>
      </c>
    </row>
    <row r="512" spans="2:20" ht="51">
      <c r="B512" s="6">
        <v>496</v>
      </c>
      <c r="C512" s="36" t="s">
        <v>714</v>
      </c>
      <c r="D512" s="37" t="s">
        <v>715</v>
      </c>
      <c r="E512" s="6" t="s">
        <v>480</v>
      </c>
      <c r="F512" s="70" t="s">
        <v>481</v>
      </c>
      <c r="G512" s="70" t="s">
        <v>28</v>
      </c>
      <c r="H512" s="70" t="s">
        <v>482</v>
      </c>
      <c r="I512" s="70" t="s">
        <v>483</v>
      </c>
      <c r="J512" s="70" t="s">
        <v>481</v>
      </c>
      <c r="K512" s="70" t="s">
        <v>28</v>
      </c>
      <c r="L512" s="70" t="s">
        <v>595</v>
      </c>
      <c r="M512" s="38" t="s">
        <v>648</v>
      </c>
      <c r="N512" s="26">
        <v>13</v>
      </c>
      <c r="O512" s="57">
        <v>759</v>
      </c>
      <c r="P512" s="62">
        <f t="shared" si="8"/>
        <v>9867</v>
      </c>
      <c r="Q512" s="6" t="s">
        <v>395</v>
      </c>
      <c r="R512" s="6" t="s">
        <v>770</v>
      </c>
      <c r="S512" s="38" t="s">
        <v>793</v>
      </c>
      <c r="T512" s="6">
        <v>0</v>
      </c>
    </row>
    <row r="513" spans="2:20" ht="51">
      <c r="B513" s="6">
        <v>497</v>
      </c>
      <c r="C513" s="36" t="s">
        <v>714</v>
      </c>
      <c r="D513" s="37" t="s">
        <v>715</v>
      </c>
      <c r="E513" s="11" t="s">
        <v>694</v>
      </c>
      <c r="F513" s="70" t="s">
        <v>2191</v>
      </c>
      <c r="G513" s="70" t="s">
        <v>29</v>
      </c>
      <c r="H513" s="70" t="s">
        <v>851</v>
      </c>
      <c r="I513" s="70" t="s">
        <v>776</v>
      </c>
      <c r="J513" s="70" t="s">
        <v>2191</v>
      </c>
      <c r="K513" s="70" t="s">
        <v>29</v>
      </c>
      <c r="L513" s="70" t="s">
        <v>595</v>
      </c>
      <c r="M513" s="6" t="s">
        <v>484</v>
      </c>
      <c r="N513" s="26">
        <v>156</v>
      </c>
      <c r="O513" s="57">
        <v>27</v>
      </c>
      <c r="P513" s="62">
        <f t="shared" si="8"/>
        <v>4212</v>
      </c>
      <c r="Q513" s="6" t="s">
        <v>395</v>
      </c>
      <c r="R513" s="6" t="s">
        <v>770</v>
      </c>
      <c r="S513" s="38" t="s">
        <v>793</v>
      </c>
      <c r="T513" s="6">
        <v>0</v>
      </c>
    </row>
    <row r="514" spans="2:20" ht="51">
      <c r="B514" s="6">
        <v>498</v>
      </c>
      <c r="C514" s="36" t="s">
        <v>714</v>
      </c>
      <c r="D514" s="37" t="s">
        <v>715</v>
      </c>
      <c r="E514" s="38" t="s">
        <v>695</v>
      </c>
      <c r="F514" s="70" t="s">
        <v>119</v>
      </c>
      <c r="G514" s="70" t="s">
        <v>119</v>
      </c>
      <c r="H514" s="70" t="s">
        <v>852</v>
      </c>
      <c r="I514" s="70" t="s">
        <v>696</v>
      </c>
      <c r="J514" s="70" t="s">
        <v>119</v>
      </c>
      <c r="K514" s="70" t="s">
        <v>119</v>
      </c>
      <c r="L514" s="70" t="s">
        <v>595</v>
      </c>
      <c r="M514" s="38" t="s">
        <v>648</v>
      </c>
      <c r="N514" s="26">
        <v>78</v>
      </c>
      <c r="O514" s="57">
        <v>103</v>
      </c>
      <c r="P514" s="62">
        <f t="shared" si="8"/>
        <v>8034</v>
      </c>
      <c r="Q514" s="6" t="s">
        <v>395</v>
      </c>
      <c r="R514" s="6" t="s">
        <v>770</v>
      </c>
      <c r="S514" s="38" t="s">
        <v>793</v>
      </c>
      <c r="T514" s="6">
        <v>0</v>
      </c>
    </row>
    <row r="515" spans="2:20" ht="51">
      <c r="B515" s="6">
        <v>499</v>
      </c>
      <c r="C515" s="36" t="s">
        <v>714</v>
      </c>
      <c r="D515" s="37" t="s">
        <v>715</v>
      </c>
      <c r="E515" s="40" t="s">
        <v>426</v>
      </c>
      <c r="F515" s="70" t="s">
        <v>427</v>
      </c>
      <c r="G515" s="70" t="s">
        <v>428</v>
      </c>
      <c r="H515" s="70" t="s">
        <v>841</v>
      </c>
      <c r="I515" s="70" t="s">
        <v>429</v>
      </c>
      <c r="J515" s="70" t="s">
        <v>2312</v>
      </c>
      <c r="K515" s="70" t="s">
        <v>231</v>
      </c>
      <c r="L515" s="70" t="s">
        <v>595</v>
      </c>
      <c r="M515" s="12" t="s">
        <v>913</v>
      </c>
      <c r="N515" s="26">
        <v>288</v>
      </c>
      <c r="O515" s="57">
        <v>670</v>
      </c>
      <c r="P515" s="62">
        <f t="shared" si="8"/>
        <v>192960</v>
      </c>
      <c r="Q515" s="6" t="s">
        <v>397</v>
      </c>
      <c r="R515" s="6" t="s">
        <v>770</v>
      </c>
      <c r="S515" s="38" t="s">
        <v>2038</v>
      </c>
      <c r="T515" s="26">
        <v>100</v>
      </c>
    </row>
    <row r="516" spans="2:20" ht="63.75">
      <c r="B516" s="6">
        <v>500</v>
      </c>
      <c r="C516" s="36" t="s">
        <v>714</v>
      </c>
      <c r="D516" s="37" t="s">
        <v>715</v>
      </c>
      <c r="E516" s="38" t="s">
        <v>430</v>
      </c>
      <c r="F516" s="70" t="s">
        <v>842</v>
      </c>
      <c r="G516" s="70" t="s">
        <v>19</v>
      </c>
      <c r="H516" s="70" t="s">
        <v>843</v>
      </c>
      <c r="I516" s="70" t="s">
        <v>432</v>
      </c>
      <c r="J516" s="70" t="s">
        <v>842</v>
      </c>
      <c r="K516" s="70" t="s">
        <v>19</v>
      </c>
      <c r="L516" s="70" t="s">
        <v>595</v>
      </c>
      <c r="M516" s="6" t="s">
        <v>673</v>
      </c>
      <c r="N516" s="26">
        <v>24</v>
      </c>
      <c r="O516" s="57">
        <v>313</v>
      </c>
      <c r="P516" s="62">
        <f t="shared" si="8"/>
        <v>7512</v>
      </c>
      <c r="Q516" s="6" t="s">
        <v>397</v>
      </c>
      <c r="R516" s="6" t="s">
        <v>770</v>
      </c>
      <c r="S516" s="38" t="s">
        <v>2038</v>
      </c>
      <c r="T516" s="26">
        <v>100</v>
      </c>
    </row>
    <row r="517" spans="2:20" ht="51">
      <c r="B517" s="6">
        <v>501</v>
      </c>
      <c r="C517" s="36" t="s">
        <v>714</v>
      </c>
      <c r="D517" s="37" t="s">
        <v>715</v>
      </c>
      <c r="E517" s="11" t="s">
        <v>433</v>
      </c>
      <c r="F517" s="70" t="s">
        <v>844</v>
      </c>
      <c r="G517" s="70" t="s">
        <v>434</v>
      </c>
      <c r="H517" s="70" t="s">
        <v>845</v>
      </c>
      <c r="I517" s="70" t="s">
        <v>435</v>
      </c>
      <c r="J517" s="70" t="s">
        <v>844</v>
      </c>
      <c r="K517" s="70" t="s">
        <v>232</v>
      </c>
      <c r="L517" s="70" t="s">
        <v>595</v>
      </c>
      <c r="M517" s="12" t="s">
        <v>913</v>
      </c>
      <c r="N517" s="26">
        <v>48</v>
      </c>
      <c r="O517" s="57">
        <v>223</v>
      </c>
      <c r="P517" s="62">
        <f t="shared" si="8"/>
        <v>10704</v>
      </c>
      <c r="Q517" s="6" t="s">
        <v>397</v>
      </c>
      <c r="R517" s="6" t="s">
        <v>770</v>
      </c>
      <c r="S517" s="38" t="s">
        <v>2038</v>
      </c>
      <c r="T517" s="26">
        <v>100</v>
      </c>
    </row>
    <row r="518" spans="2:20" ht="51">
      <c r="B518" s="6">
        <v>502</v>
      </c>
      <c r="C518" s="36" t="s">
        <v>714</v>
      </c>
      <c r="D518" s="37" t="s">
        <v>715</v>
      </c>
      <c r="E518" s="12" t="s">
        <v>914</v>
      </c>
      <c r="F518" s="70" t="s">
        <v>437</v>
      </c>
      <c r="G518" s="70" t="s">
        <v>438</v>
      </c>
      <c r="H518" s="70" t="s">
        <v>439</v>
      </c>
      <c r="I518" s="70" t="s">
        <v>440</v>
      </c>
      <c r="J518" s="70" t="s">
        <v>771</v>
      </c>
      <c r="K518" s="70" t="s">
        <v>18</v>
      </c>
      <c r="L518" s="70" t="s">
        <v>595</v>
      </c>
      <c r="M518" s="6" t="s">
        <v>648</v>
      </c>
      <c r="N518" s="26">
        <v>48</v>
      </c>
      <c r="O518" s="57">
        <v>179</v>
      </c>
      <c r="P518" s="62">
        <f t="shared" si="8"/>
        <v>8592</v>
      </c>
      <c r="Q518" s="6" t="s">
        <v>397</v>
      </c>
      <c r="R518" s="6" t="s">
        <v>770</v>
      </c>
      <c r="S518" s="38" t="s">
        <v>2038</v>
      </c>
      <c r="T518" s="26">
        <v>100</v>
      </c>
    </row>
    <row r="519" spans="2:20" ht="51">
      <c r="B519" s="6">
        <v>503</v>
      </c>
      <c r="C519" s="16" t="s">
        <v>714</v>
      </c>
      <c r="D519" s="37" t="s">
        <v>715</v>
      </c>
      <c r="E519" s="6" t="s">
        <v>675</v>
      </c>
      <c r="F519" s="70" t="s">
        <v>20</v>
      </c>
      <c r="G519" s="70" t="s">
        <v>20</v>
      </c>
      <c r="H519" s="70" t="s">
        <v>2237</v>
      </c>
      <c r="I519" s="70" t="s">
        <v>772</v>
      </c>
      <c r="J519" s="70" t="s">
        <v>20</v>
      </c>
      <c r="K519" s="70" t="s">
        <v>20</v>
      </c>
      <c r="L519" s="70" t="s">
        <v>595</v>
      </c>
      <c r="M519" s="38" t="s">
        <v>648</v>
      </c>
      <c r="N519" s="26">
        <v>48</v>
      </c>
      <c r="O519" s="57">
        <v>107</v>
      </c>
      <c r="P519" s="62">
        <f t="shared" si="8"/>
        <v>5136</v>
      </c>
      <c r="Q519" s="6" t="s">
        <v>397</v>
      </c>
      <c r="R519" s="6" t="s">
        <v>770</v>
      </c>
      <c r="S519" s="38" t="s">
        <v>2038</v>
      </c>
      <c r="T519" s="26">
        <v>100</v>
      </c>
    </row>
    <row r="520" spans="2:20" ht="51">
      <c r="B520" s="6">
        <v>504</v>
      </c>
      <c r="C520" s="36" t="s">
        <v>714</v>
      </c>
      <c r="D520" s="37" t="s">
        <v>715</v>
      </c>
      <c r="E520" s="11" t="s">
        <v>677</v>
      </c>
      <c r="F520" s="70" t="s">
        <v>21</v>
      </c>
      <c r="G520" s="70" t="s">
        <v>21</v>
      </c>
      <c r="H520" s="70" t="s">
        <v>2255</v>
      </c>
      <c r="I520" s="70" t="s">
        <v>678</v>
      </c>
      <c r="J520" s="70" t="s">
        <v>21</v>
      </c>
      <c r="K520" s="70" t="s">
        <v>21</v>
      </c>
      <c r="L520" s="70" t="s">
        <v>595</v>
      </c>
      <c r="M520" s="38" t="s">
        <v>648</v>
      </c>
      <c r="N520" s="26">
        <v>12</v>
      </c>
      <c r="O520" s="57">
        <v>1339</v>
      </c>
      <c r="P520" s="62">
        <f t="shared" si="8"/>
        <v>16068</v>
      </c>
      <c r="Q520" s="6" t="s">
        <v>397</v>
      </c>
      <c r="R520" s="6" t="s">
        <v>770</v>
      </c>
      <c r="S520" s="38" t="s">
        <v>2038</v>
      </c>
      <c r="T520" s="26">
        <v>100</v>
      </c>
    </row>
    <row r="521" spans="2:20" ht="63.75">
      <c r="B521" s="6">
        <v>505</v>
      </c>
      <c r="C521" s="36" t="s">
        <v>714</v>
      </c>
      <c r="D521" s="37" t="s">
        <v>715</v>
      </c>
      <c r="E521" s="11" t="s">
        <v>679</v>
      </c>
      <c r="F521" s="70" t="s">
        <v>2085</v>
      </c>
      <c r="G521" s="70" t="s">
        <v>22</v>
      </c>
      <c r="H521" s="70" t="s">
        <v>847</v>
      </c>
      <c r="I521" s="70" t="s">
        <v>773</v>
      </c>
      <c r="J521" s="70" t="s">
        <v>2085</v>
      </c>
      <c r="K521" s="70" t="s">
        <v>22</v>
      </c>
      <c r="L521" s="70" t="s">
        <v>595</v>
      </c>
      <c r="M521" s="6" t="s">
        <v>484</v>
      </c>
      <c r="N521" s="26">
        <v>288</v>
      </c>
      <c r="O521" s="57">
        <v>13</v>
      </c>
      <c r="P521" s="62">
        <f t="shared" si="8"/>
        <v>3744</v>
      </c>
      <c r="Q521" s="6" t="s">
        <v>397</v>
      </c>
      <c r="R521" s="6" t="s">
        <v>770</v>
      </c>
      <c r="S521" s="38" t="s">
        <v>2038</v>
      </c>
      <c r="T521" s="26">
        <v>100</v>
      </c>
    </row>
    <row r="522" spans="2:20" ht="51">
      <c r="B522" s="6">
        <v>506</v>
      </c>
      <c r="C522" s="36" t="s">
        <v>714</v>
      </c>
      <c r="D522" s="37" t="s">
        <v>715</v>
      </c>
      <c r="E522" s="6" t="s">
        <v>447</v>
      </c>
      <c r="F522" s="70" t="s">
        <v>448</v>
      </c>
      <c r="G522" s="70" t="s">
        <v>448</v>
      </c>
      <c r="H522" s="70" t="s">
        <v>449</v>
      </c>
      <c r="I522" s="70" t="s">
        <v>450</v>
      </c>
      <c r="J522" s="70" t="s">
        <v>233</v>
      </c>
      <c r="K522" s="70" t="s">
        <v>233</v>
      </c>
      <c r="L522" s="70" t="s">
        <v>595</v>
      </c>
      <c r="M522" s="38" t="s">
        <v>648</v>
      </c>
      <c r="N522" s="26">
        <v>72</v>
      </c>
      <c r="O522" s="57">
        <v>446</v>
      </c>
      <c r="P522" s="62">
        <f t="shared" si="8"/>
        <v>32112</v>
      </c>
      <c r="Q522" s="6" t="s">
        <v>397</v>
      </c>
      <c r="R522" s="6" t="s">
        <v>770</v>
      </c>
      <c r="S522" s="38" t="s">
        <v>2038</v>
      </c>
      <c r="T522" s="26">
        <v>100</v>
      </c>
    </row>
    <row r="523" spans="2:20" ht="51">
      <c r="B523" s="6">
        <v>507</v>
      </c>
      <c r="C523" s="36" t="s">
        <v>714</v>
      </c>
      <c r="D523" s="37" t="s">
        <v>715</v>
      </c>
      <c r="E523" s="11" t="s">
        <v>681</v>
      </c>
      <c r="F523" s="70" t="s">
        <v>2285</v>
      </c>
      <c r="G523" s="70" t="s">
        <v>23</v>
      </c>
      <c r="H523" s="70" t="s">
        <v>848</v>
      </c>
      <c r="I523" s="70" t="s">
        <v>682</v>
      </c>
      <c r="J523" s="70" t="s">
        <v>2285</v>
      </c>
      <c r="K523" s="70" t="s">
        <v>23</v>
      </c>
      <c r="L523" s="70" t="s">
        <v>595</v>
      </c>
      <c r="M523" s="38" t="s">
        <v>648</v>
      </c>
      <c r="N523" s="26">
        <v>72</v>
      </c>
      <c r="O523" s="57">
        <v>268</v>
      </c>
      <c r="P523" s="62">
        <f t="shared" si="8"/>
        <v>19296</v>
      </c>
      <c r="Q523" s="6" t="s">
        <v>397</v>
      </c>
      <c r="R523" s="6" t="s">
        <v>770</v>
      </c>
      <c r="S523" s="38" t="s">
        <v>2038</v>
      </c>
      <c r="T523" s="26">
        <v>100</v>
      </c>
    </row>
    <row r="524" spans="2:20" ht="51">
      <c r="B524" s="6">
        <v>508</v>
      </c>
      <c r="C524" s="36" t="s">
        <v>714</v>
      </c>
      <c r="D524" s="37" t="s">
        <v>715</v>
      </c>
      <c r="E524" s="11" t="s">
        <v>683</v>
      </c>
      <c r="F524" s="70" t="s">
        <v>24</v>
      </c>
      <c r="G524" s="70" t="s">
        <v>24</v>
      </c>
      <c r="H524" s="70" t="s">
        <v>2288</v>
      </c>
      <c r="I524" s="70" t="s">
        <v>684</v>
      </c>
      <c r="J524" s="70" t="s">
        <v>24</v>
      </c>
      <c r="K524" s="70" t="s">
        <v>24</v>
      </c>
      <c r="L524" s="70" t="s">
        <v>595</v>
      </c>
      <c r="M524" s="38" t="s">
        <v>648</v>
      </c>
      <c r="N524" s="26">
        <v>12</v>
      </c>
      <c r="O524" s="57">
        <v>223</v>
      </c>
      <c r="P524" s="62">
        <f t="shared" si="8"/>
        <v>2676</v>
      </c>
      <c r="Q524" s="6" t="s">
        <v>397</v>
      </c>
      <c r="R524" s="6" t="s">
        <v>770</v>
      </c>
      <c r="S524" s="38" t="s">
        <v>2038</v>
      </c>
      <c r="T524" s="26">
        <v>100</v>
      </c>
    </row>
    <row r="525" spans="2:20" ht="51">
      <c r="B525" s="6">
        <v>509</v>
      </c>
      <c r="C525" s="36" t="s">
        <v>714</v>
      </c>
      <c r="D525" s="37" t="s">
        <v>715</v>
      </c>
      <c r="E525" s="6" t="s">
        <v>453</v>
      </c>
      <c r="F525" s="70" t="s">
        <v>2287</v>
      </c>
      <c r="G525" s="70" t="s">
        <v>454</v>
      </c>
      <c r="H525" s="70" t="s">
        <v>2290</v>
      </c>
      <c r="I525" s="70" t="s">
        <v>455</v>
      </c>
      <c r="J525" s="70" t="s">
        <v>2287</v>
      </c>
      <c r="K525" s="70" t="s">
        <v>234</v>
      </c>
      <c r="L525" s="70" t="s">
        <v>595</v>
      </c>
      <c r="M525" s="6" t="s">
        <v>484</v>
      </c>
      <c r="N525" s="26">
        <v>72</v>
      </c>
      <c r="O525" s="57">
        <v>223</v>
      </c>
      <c r="P525" s="62">
        <f t="shared" si="8"/>
        <v>16056</v>
      </c>
      <c r="Q525" s="6" t="s">
        <v>397</v>
      </c>
      <c r="R525" s="6" t="s">
        <v>770</v>
      </c>
      <c r="S525" s="38" t="s">
        <v>2038</v>
      </c>
      <c r="T525" s="26">
        <v>100</v>
      </c>
    </row>
    <row r="526" spans="2:20" ht="51">
      <c r="B526" s="6">
        <v>510</v>
      </c>
      <c r="C526" s="36" t="s">
        <v>714</v>
      </c>
      <c r="D526" s="37" t="s">
        <v>715</v>
      </c>
      <c r="E526" s="6" t="s">
        <v>456</v>
      </c>
      <c r="F526" s="70" t="s">
        <v>457</v>
      </c>
      <c r="G526" s="70" t="s">
        <v>458</v>
      </c>
      <c r="H526" s="70" t="s">
        <v>459</v>
      </c>
      <c r="I526" s="70" t="s">
        <v>460</v>
      </c>
      <c r="J526" s="70" t="s">
        <v>457</v>
      </c>
      <c r="K526" s="70" t="s">
        <v>235</v>
      </c>
      <c r="L526" s="70" t="s">
        <v>595</v>
      </c>
      <c r="M526" s="6" t="s">
        <v>484</v>
      </c>
      <c r="N526" s="26">
        <v>72</v>
      </c>
      <c r="O526" s="57">
        <v>179</v>
      </c>
      <c r="P526" s="62">
        <f t="shared" si="8"/>
        <v>12888</v>
      </c>
      <c r="Q526" s="6" t="s">
        <v>397</v>
      </c>
      <c r="R526" s="6" t="s">
        <v>770</v>
      </c>
      <c r="S526" s="38" t="s">
        <v>2038</v>
      </c>
      <c r="T526" s="26">
        <v>100</v>
      </c>
    </row>
    <row r="527" spans="2:20" ht="51">
      <c r="B527" s="6">
        <v>511</v>
      </c>
      <c r="C527" s="36" t="s">
        <v>714</v>
      </c>
      <c r="D527" s="37" t="s">
        <v>715</v>
      </c>
      <c r="E527" s="6" t="s">
        <v>461</v>
      </c>
      <c r="F527" s="70" t="s">
        <v>17</v>
      </c>
      <c r="G527" s="70" t="s">
        <v>17</v>
      </c>
      <c r="H527" s="70" t="s">
        <v>2298</v>
      </c>
      <c r="I527" s="70" t="s">
        <v>2299</v>
      </c>
      <c r="J527" s="70" t="s">
        <v>17</v>
      </c>
      <c r="K527" s="70" t="s">
        <v>17</v>
      </c>
      <c r="L527" s="70" t="s">
        <v>595</v>
      </c>
      <c r="M527" s="38" t="s">
        <v>648</v>
      </c>
      <c r="N527" s="26">
        <v>24</v>
      </c>
      <c r="O527" s="57">
        <v>714</v>
      </c>
      <c r="P527" s="62">
        <f t="shared" si="8"/>
        <v>17136</v>
      </c>
      <c r="Q527" s="6" t="s">
        <v>397</v>
      </c>
      <c r="R527" s="6" t="s">
        <v>770</v>
      </c>
      <c r="S527" s="38" t="s">
        <v>2038</v>
      </c>
      <c r="T527" s="26">
        <v>100</v>
      </c>
    </row>
    <row r="528" spans="2:20" ht="51">
      <c r="B528" s="6">
        <v>512</v>
      </c>
      <c r="C528" s="36" t="s">
        <v>714</v>
      </c>
      <c r="D528" s="37" t="s">
        <v>715</v>
      </c>
      <c r="E528" s="12" t="s">
        <v>463</v>
      </c>
      <c r="F528" s="70" t="s">
        <v>1697</v>
      </c>
      <c r="G528" s="70" t="s">
        <v>464</v>
      </c>
      <c r="H528" s="70" t="s">
        <v>2223</v>
      </c>
      <c r="I528" s="70" t="s">
        <v>2224</v>
      </c>
      <c r="J528" s="70" t="s">
        <v>236</v>
      </c>
      <c r="K528" s="70" t="s">
        <v>236</v>
      </c>
      <c r="L528" s="70" t="s">
        <v>595</v>
      </c>
      <c r="M528" s="38" t="s">
        <v>648</v>
      </c>
      <c r="N528" s="26">
        <v>48</v>
      </c>
      <c r="O528" s="57">
        <v>161</v>
      </c>
      <c r="P528" s="62">
        <f t="shared" si="8"/>
        <v>7728</v>
      </c>
      <c r="Q528" s="6" t="s">
        <v>397</v>
      </c>
      <c r="R528" s="6" t="s">
        <v>770</v>
      </c>
      <c r="S528" s="38" t="s">
        <v>2038</v>
      </c>
      <c r="T528" s="26">
        <v>100</v>
      </c>
    </row>
    <row r="529" spans="2:20" ht="51">
      <c r="B529" s="6">
        <v>513</v>
      </c>
      <c r="C529" s="36" t="s">
        <v>714</v>
      </c>
      <c r="D529" s="37" t="s">
        <v>715</v>
      </c>
      <c r="E529" s="11" t="s">
        <v>687</v>
      </c>
      <c r="F529" s="70" t="s">
        <v>470</v>
      </c>
      <c r="G529" s="70" t="s">
        <v>467</v>
      </c>
      <c r="H529" s="70" t="s">
        <v>849</v>
      </c>
      <c r="I529" s="70" t="s">
        <v>774</v>
      </c>
      <c r="J529" s="70" t="s">
        <v>470</v>
      </c>
      <c r="K529" s="70" t="s">
        <v>467</v>
      </c>
      <c r="L529" s="70" t="s">
        <v>595</v>
      </c>
      <c r="M529" s="38" t="s">
        <v>648</v>
      </c>
      <c r="N529" s="26">
        <v>48</v>
      </c>
      <c r="O529" s="57">
        <v>161</v>
      </c>
      <c r="P529" s="62">
        <f t="shared" ref="P529:P592" si="9">N529*O529</f>
        <v>7728</v>
      </c>
      <c r="Q529" s="6" t="s">
        <v>397</v>
      </c>
      <c r="R529" s="6" t="s">
        <v>770</v>
      </c>
      <c r="S529" s="38" t="s">
        <v>2038</v>
      </c>
      <c r="T529" s="26">
        <v>100</v>
      </c>
    </row>
    <row r="530" spans="2:20" ht="51">
      <c r="B530" s="6">
        <v>514</v>
      </c>
      <c r="C530" s="36" t="s">
        <v>714</v>
      </c>
      <c r="D530" s="37" t="s">
        <v>715</v>
      </c>
      <c r="E530" s="11" t="s">
        <v>688</v>
      </c>
      <c r="F530" s="70" t="s">
        <v>470</v>
      </c>
      <c r="G530" s="70" t="s">
        <v>25</v>
      </c>
      <c r="H530" s="70" t="s">
        <v>2199</v>
      </c>
      <c r="I530" s="70" t="s">
        <v>689</v>
      </c>
      <c r="J530" s="70" t="s">
        <v>470</v>
      </c>
      <c r="K530" s="70" t="s">
        <v>25</v>
      </c>
      <c r="L530" s="70" t="s">
        <v>595</v>
      </c>
      <c r="M530" s="38" t="s">
        <v>648</v>
      </c>
      <c r="N530" s="26">
        <v>48</v>
      </c>
      <c r="O530" s="57">
        <v>45</v>
      </c>
      <c r="P530" s="62">
        <f t="shared" si="9"/>
        <v>2160</v>
      </c>
      <c r="Q530" s="6" t="s">
        <v>397</v>
      </c>
      <c r="R530" s="6" t="s">
        <v>770</v>
      </c>
      <c r="S530" s="38" t="s">
        <v>2038</v>
      </c>
      <c r="T530" s="26">
        <v>100</v>
      </c>
    </row>
    <row r="531" spans="2:20" ht="51">
      <c r="B531" s="6">
        <v>515</v>
      </c>
      <c r="C531" s="16" t="s">
        <v>714</v>
      </c>
      <c r="D531" s="37" t="s">
        <v>715</v>
      </c>
      <c r="E531" s="11" t="s">
        <v>690</v>
      </c>
      <c r="F531" s="70" t="s">
        <v>2313</v>
      </c>
      <c r="G531" s="70" t="s">
        <v>26</v>
      </c>
      <c r="H531" s="70" t="s">
        <v>2314</v>
      </c>
      <c r="I531" s="70" t="s">
        <v>691</v>
      </c>
      <c r="J531" s="70" t="s">
        <v>2313</v>
      </c>
      <c r="K531" s="70" t="s">
        <v>26</v>
      </c>
      <c r="L531" s="70" t="s">
        <v>595</v>
      </c>
      <c r="M531" s="12" t="s">
        <v>913</v>
      </c>
      <c r="N531" s="26">
        <v>24</v>
      </c>
      <c r="O531" s="57">
        <v>134</v>
      </c>
      <c r="P531" s="62">
        <f t="shared" si="9"/>
        <v>3216</v>
      </c>
      <c r="Q531" s="6" t="s">
        <v>397</v>
      </c>
      <c r="R531" s="6" t="s">
        <v>770</v>
      </c>
      <c r="S531" s="38" t="s">
        <v>2038</v>
      </c>
      <c r="T531" s="26">
        <v>100</v>
      </c>
    </row>
    <row r="532" spans="2:20" ht="114.75">
      <c r="B532" s="6">
        <v>516</v>
      </c>
      <c r="C532" s="36" t="s">
        <v>714</v>
      </c>
      <c r="D532" s="37" t="s">
        <v>715</v>
      </c>
      <c r="E532" s="6" t="s">
        <v>474</v>
      </c>
      <c r="F532" s="70" t="s">
        <v>27</v>
      </c>
      <c r="G532" s="70" t="s">
        <v>27</v>
      </c>
      <c r="H532" s="70" t="s">
        <v>475</v>
      </c>
      <c r="I532" s="70" t="s">
        <v>476</v>
      </c>
      <c r="J532" s="70" t="s">
        <v>27</v>
      </c>
      <c r="K532" s="70" t="s">
        <v>27</v>
      </c>
      <c r="L532" s="70" t="s">
        <v>595</v>
      </c>
      <c r="M532" s="38" t="s">
        <v>648</v>
      </c>
      <c r="N532" s="26">
        <v>2</v>
      </c>
      <c r="O532" s="57">
        <v>2679</v>
      </c>
      <c r="P532" s="62">
        <f t="shared" si="9"/>
        <v>5358</v>
      </c>
      <c r="Q532" s="6" t="s">
        <v>397</v>
      </c>
      <c r="R532" s="6" t="s">
        <v>770</v>
      </c>
      <c r="S532" s="38" t="s">
        <v>2038</v>
      </c>
      <c r="T532" s="26">
        <v>100</v>
      </c>
    </row>
    <row r="533" spans="2:20" ht="51">
      <c r="B533" s="6">
        <v>517</v>
      </c>
      <c r="C533" s="36" t="s">
        <v>714</v>
      </c>
      <c r="D533" s="37" t="s">
        <v>715</v>
      </c>
      <c r="E533" s="11" t="s">
        <v>692</v>
      </c>
      <c r="F533" s="70" t="s">
        <v>850</v>
      </c>
      <c r="G533" s="70" t="s">
        <v>850</v>
      </c>
      <c r="H533" s="70" t="s">
        <v>775</v>
      </c>
      <c r="I533" s="70" t="s">
        <v>775</v>
      </c>
      <c r="J533" s="70" t="s">
        <v>850</v>
      </c>
      <c r="K533" s="70" t="s">
        <v>237</v>
      </c>
      <c r="L533" s="70" t="s">
        <v>595</v>
      </c>
      <c r="M533" s="38" t="s">
        <v>648</v>
      </c>
      <c r="N533" s="26">
        <v>288</v>
      </c>
      <c r="O533" s="57">
        <v>45</v>
      </c>
      <c r="P533" s="62">
        <f t="shared" si="9"/>
        <v>12960</v>
      </c>
      <c r="Q533" s="6" t="s">
        <v>397</v>
      </c>
      <c r="R533" s="6" t="s">
        <v>770</v>
      </c>
      <c r="S533" s="38" t="s">
        <v>2038</v>
      </c>
      <c r="T533" s="26">
        <v>100</v>
      </c>
    </row>
    <row r="534" spans="2:20" ht="51">
      <c r="B534" s="6">
        <v>518</v>
      </c>
      <c r="C534" s="36" t="s">
        <v>714</v>
      </c>
      <c r="D534" s="37" t="s">
        <v>715</v>
      </c>
      <c r="E534" s="6" t="s">
        <v>480</v>
      </c>
      <c r="F534" s="70" t="s">
        <v>481</v>
      </c>
      <c r="G534" s="70" t="s">
        <v>28</v>
      </c>
      <c r="H534" s="70" t="s">
        <v>482</v>
      </c>
      <c r="I534" s="70" t="s">
        <v>483</v>
      </c>
      <c r="J534" s="70" t="s">
        <v>481</v>
      </c>
      <c r="K534" s="70" t="s">
        <v>28</v>
      </c>
      <c r="L534" s="70" t="s">
        <v>595</v>
      </c>
      <c r="M534" s="38" t="s">
        <v>648</v>
      </c>
      <c r="N534" s="26">
        <v>12</v>
      </c>
      <c r="O534" s="57">
        <v>759</v>
      </c>
      <c r="P534" s="62">
        <f t="shared" si="9"/>
        <v>9108</v>
      </c>
      <c r="Q534" s="6" t="s">
        <v>397</v>
      </c>
      <c r="R534" s="6" t="s">
        <v>770</v>
      </c>
      <c r="S534" s="38" t="s">
        <v>2038</v>
      </c>
      <c r="T534" s="26">
        <v>100</v>
      </c>
    </row>
    <row r="535" spans="2:20" ht="51">
      <c r="B535" s="6">
        <v>519</v>
      </c>
      <c r="C535" s="36" t="s">
        <v>714</v>
      </c>
      <c r="D535" s="37" t="s">
        <v>715</v>
      </c>
      <c r="E535" s="11" t="s">
        <v>694</v>
      </c>
      <c r="F535" s="70" t="s">
        <v>2191</v>
      </c>
      <c r="G535" s="70" t="s">
        <v>29</v>
      </c>
      <c r="H535" s="70" t="s">
        <v>851</v>
      </c>
      <c r="I535" s="70" t="s">
        <v>776</v>
      </c>
      <c r="J535" s="70" t="s">
        <v>2191</v>
      </c>
      <c r="K535" s="70" t="s">
        <v>29</v>
      </c>
      <c r="L535" s="70" t="s">
        <v>595</v>
      </c>
      <c r="M535" s="6" t="s">
        <v>484</v>
      </c>
      <c r="N535" s="26">
        <v>144</v>
      </c>
      <c r="O535" s="57">
        <v>27</v>
      </c>
      <c r="P535" s="62">
        <f t="shared" si="9"/>
        <v>3888</v>
      </c>
      <c r="Q535" s="6" t="s">
        <v>397</v>
      </c>
      <c r="R535" s="6" t="s">
        <v>770</v>
      </c>
      <c r="S535" s="38" t="s">
        <v>2038</v>
      </c>
      <c r="T535" s="26">
        <v>100</v>
      </c>
    </row>
    <row r="536" spans="2:20" ht="51">
      <c r="B536" s="6">
        <v>520</v>
      </c>
      <c r="C536" s="36" t="s">
        <v>714</v>
      </c>
      <c r="D536" s="37" t="s">
        <v>715</v>
      </c>
      <c r="E536" s="38" t="s">
        <v>695</v>
      </c>
      <c r="F536" s="70" t="s">
        <v>119</v>
      </c>
      <c r="G536" s="70" t="s">
        <v>119</v>
      </c>
      <c r="H536" s="70" t="s">
        <v>852</v>
      </c>
      <c r="I536" s="70" t="s">
        <v>696</v>
      </c>
      <c r="J536" s="70" t="s">
        <v>119</v>
      </c>
      <c r="K536" s="70" t="s">
        <v>119</v>
      </c>
      <c r="L536" s="70" t="s">
        <v>595</v>
      </c>
      <c r="M536" s="38" t="s">
        <v>648</v>
      </c>
      <c r="N536" s="26">
        <v>72</v>
      </c>
      <c r="O536" s="57">
        <v>103</v>
      </c>
      <c r="P536" s="62">
        <f t="shared" si="9"/>
        <v>7416</v>
      </c>
      <c r="Q536" s="6" t="s">
        <v>519</v>
      </c>
      <c r="R536" s="6" t="s">
        <v>770</v>
      </c>
      <c r="S536" s="38" t="s">
        <v>2038</v>
      </c>
      <c r="T536" s="26">
        <v>100</v>
      </c>
    </row>
    <row r="537" spans="2:20" ht="51">
      <c r="B537" s="6">
        <v>521</v>
      </c>
      <c r="C537" s="36" t="s">
        <v>714</v>
      </c>
      <c r="D537" s="37" t="s">
        <v>715</v>
      </c>
      <c r="E537" s="40" t="s">
        <v>426</v>
      </c>
      <c r="F537" s="70" t="s">
        <v>427</v>
      </c>
      <c r="G537" s="70" t="s">
        <v>428</v>
      </c>
      <c r="H537" s="70" t="s">
        <v>841</v>
      </c>
      <c r="I537" s="70" t="s">
        <v>429</v>
      </c>
      <c r="J537" s="70" t="s">
        <v>2312</v>
      </c>
      <c r="K537" s="70" t="s">
        <v>231</v>
      </c>
      <c r="L537" s="70" t="s">
        <v>595</v>
      </c>
      <c r="M537" s="12" t="s">
        <v>913</v>
      </c>
      <c r="N537" s="26">
        <v>264</v>
      </c>
      <c r="O537" s="57">
        <v>670</v>
      </c>
      <c r="P537" s="62">
        <f t="shared" si="9"/>
        <v>176880</v>
      </c>
      <c r="Q537" s="6" t="s">
        <v>397</v>
      </c>
      <c r="R537" s="6" t="s">
        <v>770</v>
      </c>
      <c r="S537" s="38" t="s">
        <v>1025</v>
      </c>
      <c r="T537" s="6">
        <v>0</v>
      </c>
    </row>
    <row r="538" spans="2:20" ht="63.75">
      <c r="B538" s="6">
        <v>522</v>
      </c>
      <c r="C538" s="36" t="s">
        <v>714</v>
      </c>
      <c r="D538" s="37" t="s">
        <v>715</v>
      </c>
      <c r="E538" s="38" t="s">
        <v>430</v>
      </c>
      <c r="F538" s="70" t="s">
        <v>842</v>
      </c>
      <c r="G538" s="70" t="s">
        <v>19</v>
      </c>
      <c r="H538" s="70" t="s">
        <v>843</v>
      </c>
      <c r="I538" s="70" t="s">
        <v>432</v>
      </c>
      <c r="J538" s="70" t="s">
        <v>842</v>
      </c>
      <c r="K538" s="70" t="s">
        <v>19</v>
      </c>
      <c r="L538" s="70" t="s">
        <v>595</v>
      </c>
      <c r="M538" s="6" t="s">
        <v>673</v>
      </c>
      <c r="N538" s="26">
        <v>22</v>
      </c>
      <c r="O538" s="57">
        <v>313</v>
      </c>
      <c r="P538" s="62">
        <f t="shared" si="9"/>
        <v>6886</v>
      </c>
      <c r="Q538" s="6" t="s">
        <v>397</v>
      </c>
      <c r="R538" s="6" t="s">
        <v>770</v>
      </c>
      <c r="S538" s="38" t="s">
        <v>1025</v>
      </c>
      <c r="T538" s="6">
        <v>0</v>
      </c>
    </row>
    <row r="539" spans="2:20" ht="51">
      <c r="B539" s="6">
        <v>523</v>
      </c>
      <c r="C539" s="36" t="s">
        <v>714</v>
      </c>
      <c r="D539" s="37" t="s">
        <v>715</v>
      </c>
      <c r="E539" s="11" t="s">
        <v>433</v>
      </c>
      <c r="F539" s="70" t="s">
        <v>844</v>
      </c>
      <c r="G539" s="70" t="s">
        <v>434</v>
      </c>
      <c r="H539" s="70" t="s">
        <v>845</v>
      </c>
      <c r="I539" s="70" t="s">
        <v>435</v>
      </c>
      <c r="J539" s="70" t="s">
        <v>844</v>
      </c>
      <c r="K539" s="70" t="s">
        <v>232</v>
      </c>
      <c r="L539" s="70" t="s">
        <v>595</v>
      </c>
      <c r="M539" s="12" t="s">
        <v>913</v>
      </c>
      <c r="N539" s="26">
        <v>44</v>
      </c>
      <c r="O539" s="57">
        <v>223</v>
      </c>
      <c r="P539" s="62">
        <f t="shared" si="9"/>
        <v>9812</v>
      </c>
      <c r="Q539" s="6" t="s">
        <v>397</v>
      </c>
      <c r="R539" s="6" t="s">
        <v>770</v>
      </c>
      <c r="S539" s="38" t="s">
        <v>1025</v>
      </c>
      <c r="T539" s="6">
        <v>0</v>
      </c>
    </row>
    <row r="540" spans="2:20" ht="51">
      <c r="B540" s="6">
        <v>524</v>
      </c>
      <c r="C540" s="36" t="s">
        <v>714</v>
      </c>
      <c r="D540" s="37" t="s">
        <v>715</v>
      </c>
      <c r="E540" s="12" t="s">
        <v>898</v>
      </c>
      <c r="F540" s="70" t="s">
        <v>771</v>
      </c>
      <c r="G540" s="70" t="s">
        <v>18</v>
      </c>
      <c r="H540" s="70" t="s">
        <v>2188</v>
      </c>
      <c r="I540" s="70" t="s">
        <v>674</v>
      </c>
      <c r="J540" s="70" t="s">
        <v>771</v>
      </c>
      <c r="K540" s="70" t="s">
        <v>18</v>
      </c>
      <c r="L540" s="70" t="s">
        <v>595</v>
      </c>
      <c r="M540" s="6" t="s">
        <v>484</v>
      </c>
      <c r="N540" s="26">
        <v>44</v>
      </c>
      <c r="O540" s="57">
        <v>179</v>
      </c>
      <c r="P540" s="62">
        <f t="shared" si="9"/>
        <v>7876</v>
      </c>
      <c r="Q540" s="6" t="s">
        <v>397</v>
      </c>
      <c r="R540" s="6" t="s">
        <v>770</v>
      </c>
      <c r="S540" s="38" t="s">
        <v>1025</v>
      </c>
      <c r="T540" s="6">
        <v>0</v>
      </c>
    </row>
    <row r="541" spans="2:20" ht="51">
      <c r="B541" s="6">
        <v>525</v>
      </c>
      <c r="C541" s="16" t="s">
        <v>714</v>
      </c>
      <c r="D541" s="37" t="s">
        <v>715</v>
      </c>
      <c r="E541" s="12" t="s">
        <v>1037</v>
      </c>
      <c r="F541" s="70" t="s">
        <v>20</v>
      </c>
      <c r="G541" s="70" t="s">
        <v>20</v>
      </c>
      <c r="H541" s="70" t="s">
        <v>2238</v>
      </c>
      <c r="I541" s="70" t="s">
        <v>900</v>
      </c>
      <c r="J541" s="70" t="s">
        <v>20</v>
      </c>
      <c r="K541" s="70" t="s">
        <v>20</v>
      </c>
      <c r="L541" s="70" t="s">
        <v>595</v>
      </c>
      <c r="M541" s="38" t="s">
        <v>648</v>
      </c>
      <c r="N541" s="26">
        <v>44</v>
      </c>
      <c r="O541" s="57">
        <v>107</v>
      </c>
      <c r="P541" s="62">
        <f t="shared" si="9"/>
        <v>4708</v>
      </c>
      <c r="Q541" s="6" t="s">
        <v>397</v>
      </c>
      <c r="R541" s="6" t="s">
        <v>770</v>
      </c>
      <c r="S541" s="38" t="s">
        <v>1025</v>
      </c>
      <c r="T541" s="6">
        <v>0</v>
      </c>
    </row>
    <row r="542" spans="2:20" ht="51">
      <c r="B542" s="6">
        <v>526</v>
      </c>
      <c r="C542" s="36" t="s">
        <v>714</v>
      </c>
      <c r="D542" s="37" t="s">
        <v>715</v>
      </c>
      <c r="E542" s="12" t="s">
        <v>1038</v>
      </c>
      <c r="F542" s="70" t="s">
        <v>21</v>
      </c>
      <c r="G542" s="70" t="s">
        <v>21</v>
      </c>
      <c r="H542" s="70" t="s">
        <v>2256</v>
      </c>
      <c r="I542" s="70" t="s">
        <v>1039</v>
      </c>
      <c r="J542" s="70" t="s">
        <v>21</v>
      </c>
      <c r="K542" s="70" t="s">
        <v>21</v>
      </c>
      <c r="L542" s="70" t="s">
        <v>595</v>
      </c>
      <c r="M542" s="38" t="s">
        <v>648</v>
      </c>
      <c r="N542" s="26">
        <v>11</v>
      </c>
      <c r="O542" s="57">
        <v>1339</v>
      </c>
      <c r="P542" s="62">
        <f t="shared" si="9"/>
        <v>14729</v>
      </c>
      <c r="Q542" s="6" t="s">
        <v>397</v>
      </c>
      <c r="R542" s="6" t="s">
        <v>770</v>
      </c>
      <c r="S542" s="38" t="s">
        <v>1025</v>
      </c>
      <c r="T542" s="6">
        <v>0</v>
      </c>
    </row>
    <row r="543" spans="2:20" ht="63.75">
      <c r="B543" s="6">
        <v>527</v>
      </c>
      <c r="C543" s="16" t="s">
        <v>714</v>
      </c>
      <c r="D543" s="37" t="s">
        <v>715</v>
      </c>
      <c r="E543" s="11" t="s">
        <v>679</v>
      </c>
      <c r="F543" s="70" t="s">
        <v>2085</v>
      </c>
      <c r="G543" s="70" t="s">
        <v>22</v>
      </c>
      <c r="H543" s="70" t="s">
        <v>847</v>
      </c>
      <c r="I543" s="70" t="s">
        <v>773</v>
      </c>
      <c r="J543" s="70" t="s">
        <v>2085</v>
      </c>
      <c r="K543" s="70" t="s">
        <v>22</v>
      </c>
      <c r="L543" s="70" t="s">
        <v>595</v>
      </c>
      <c r="M543" s="6" t="s">
        <v>484</v>
      </c>
      <c r="N543" s="26">
        <v>264</v>
      </c>
      <c r="O543" s="57">
        <v>13</v>
      </c>
      <c r="P543" s="62">
        <f t="shared" si="9"/>
        <v>3432</v>
      </c>
      <c r="Q543" s="6" t="s">
        <v>397</v>
      </c>
      <c r="R543" s="6" t="s">
        <v>770</v>
      </c>
      <c r="S543" s="38" t="s">
        <v>1025</v>
      </c>
      <c r="T543" s="6">
        <v>0</v>
      </c>
    </row>
    <row r="544" spans="2:20" ht="51">
      <c r="B544" s="6">
        <v>528</v>
      </c>
      <c r="C544" s="36" t="s">
        <v>714</v>
      </c>
      <c r="D544" s="37" t="s">
        <v>715</v>
      </c>
      <c r="E544" s="6" t="s">
        <v>447</v>
      </c>
      <c r="F544" s="70" t="s">
        <v>448</v>
      </c>
      <c r="G544" s="70" t="s">
        <v>448</v>
      </c>
      <c r="H544" s="70" t="s">
        <v>449</v>
      </c>
      <c r="I544" s="70" t="s">
        <v>450</v>
      </c>
      <c r="J544" s="70" t="s">
        <v>233</v>
      </c>
      <c r="K544" s="70" t="s">
        <v>233</v>
      </c>
      <c r="L544" s="70" t="s">
        <v>595</v>
      </c>
      <c r="M544" s="38" t="s">
        <v>648</v>
      </c>
      <c r="N544" s="26">
        <v>66</v>
      </c>
      <c r="O544" s="57">
        <v>446</v>
      </c>
      <c r="P544" s="62">
        <f t="shared" si="9"/>
        <v>29436</v>
      </c>
      <c r="Q544" s="6" t="s">
        <v>397</v>
      </c>
      <c r="R544" s="6" t="s">
        <v>770</v>
      </c>
      <c r="S544" s="38" t="s">
        <v>1025</v>
      </c>
      <c r="T544" s="6">
        <v>0</v>
      </c>
    </row>
    <row r="545" spans="1:20" ht="51">
      <c r="B545" s="6">
        <v>529</v>
      </c>
      <c r="C545" s="36" t="s">
        <v>714</v>
      </c>
      <c r="D545" s="37" t="s">
        <v>715</v>
      </c>
      <c r="E545" s="11" t="s">
        <v>681</v>
      </c>
      <c r="F545" s="70" t="s">
        <v>2285</v>
      </c>
      <c r="G545" s="70" t="s">
        <v>23</v>
      </c>
      <c r="H545" s="70" t="s">
        <v>848</v>
      </c>
      <c r="I545" s="70" t="s">
        <v>682</v>
      </c>
      <c r="J545" s="70" t="s">
        <v>2285</v>
      </c>
      <c r="K545" s="70" t="s">
        <v>23</v>
      </c>
      <c r="L545" s="70" t="s">
        <v>595</v>
      </c>
      <c r="M545" s="38" t="s">
        <v>648</v>
      </c>
      <c r="N545" s="26">
        <v>66</v>
      </c>
      <c r="O545" s="57">
        <v>268</v>
      </c>
      <c r="P545" s="62">
        <f t="shared" si="9"/>
        <v>17688</v>
      </c>
      <c r="Q545" s="6" t="s">
        <v>397</v>
      </c>
      <c r="R545" s="6" t="s">
        <v>770</v>
      </c>
      <c r="S545" s="38" t="s">
        <v>1025</v>
      </c>
      <c r="T545" s="6">
        <v>0</v>
      </c>
    </row>
    <row r="546" spans="1:20" ht="51">
      <c r="B546" s="6">
        <v>530</v>
      </c>
      <c r="C546" s="36" t="s">
        <v>714</v>
      </c>
      <c r="D546" s="37" t="s">
        <v>715</v>
      </c>
      <c r="E546" s="11" t="s">
        <v>683</v>
      </c>
      <c r="F546" s="70" t="s">
        <v>24</v>
      </c>
      <c r="G546" s="70" t="s">
        <v>24</v>
      </c>
      <c r="H546" s="70" t="s">
        <v>2288</v>
      </c>
      <c r="I546" s="70" t="s">
        <v>684</v>
      </c>
      <c r="J546" s="70" t="s">
        <v>24</v>
      </c>
      <c r="K546" s="70" t="s">
        <v>24</v>
      </c>
      <c r="L546" s="70" t="s">
        <v>595</v>
      </c>
      <c r="M546" s="38" t="s">
        <v>648</v>
      </c>
      <c r="N546" s="26">
        <v>11</v>
      </c>
      <c r="O546" s="57">
        <v>223</v>
      </c>
      <c r="P546" s="62">
        <f t="shared" si="9"/>
        <v>2453</v>
      </c>
      <c r="Q546" s="6" t="s">
        <v>397</v>
      </c>
      <c r="R546" s="6" t="s">
        <v>770</v>
      </c>
      <c r="S546" s="38" t="s">
        <v>1025</v>
      </c>
      <c r="T546" s="6">
        <v>0</v>
      </c>
    </row>
    <row r="547" spans="1:20" ht="51">
      <c r="B547" s="6">
        <v>531</v>
      </c>
      <c r="C547" s="36" t="s">
        <v>714</v>
      </c>
      <c r="D547" s="37" t="s">
        <v>715</v>
      </c>
      <c r="E547" s="12" t="s">
        <v>1040</v>
      </c>
      <c r="F547" s="70" t="s">
        <v>2287</v>
      </c>
      <c r="G547" s="70" t="s">
        <v>454</v>
      </c>
      <c r="H547" s="70" t="s">
        <v>2291</v>
      </c>
      <c r="I547" s="70" t="s">
        <v>1041</v>
      </c>
      <c r="J547" s="70" t="s">
        <v>2287</v>
      </c>
      <c r="K547" s="70" t="s">
        <v>234</v>
      </c>
      <c r="L547" s="70" t="s">
        <v>595</v>
      </c>
      <c r="M547" s="6" t="s">
        <v>484</v>
      </c>
      <c r="N547" s="26">
        <v>66</v>
      </c>
      <c r="O547" s="57">
        <v>223</v>
      </c>
      <c r="P547" s="62">
        <f t="shared" si="9"/>
        <v>14718</v>
      </c>
      <c r="Q547" s="6" t="s">
        <v>397</v>
      </c>
      <c r="R547" s="6" t="s">
        <v>770</v>
      </c>
      <c r="S547" s="38" t="s">
        <v>1025</v>
      </c>
      <c r="T547" s="6">
        <v>0</v>
      </c>
    </row>
    <row r="548" spans="1:20" ht="51">
      <c r="B548" s="6">
        <v>532</v>
      </c>
      <c r="C548" s="36" t="s">
        <v>714</v>
      </c>
      <c r="D548" s="37" t="s">
        <v>715</v>
      </c>
      <c r="E548" s="6" t="s">
        <v>456</v>
      </c>
      <c r="F548" s="70" t="s">
        <v>457</v>
      </c>
      <c r="G548" s="70" t="s">
        <v>458</v>
      </c>
      <c r="H548" s="70" t="s">
        <v>459</v>
      </c>
      <c r="I548" s="70" t="s">
        <v>460</v>
      </c>
      <c r="J548" s="70" t="s">
        <v>457</v>
      </c>
      <c r="K548" s="70" t="s">
        <v>235</v>
      </c>
      <c r="L548" s="70" t="s">
        <v>595</v>
      </c>
      <c r="M548" s="6" t="s">
        <v>484</v>
      </c>
      <c r="N548" s="26">
        <v>66</v>
      </c>
      <c r="O548" s="57">
        <v>179</v>
      </c>
      <c r="P548" s="62">
        <f t="shared" si="9"/>
        <v>11814</v>
      </c>
      <c r="Q548" s="6" t="s">
        <v>397</v>
      </c>
      <c r="R548" s="6" t="s">
        <v>770</v>
      </c>
      <c r="S548" s="38" t="s">
        <v>1025</v>
      </c>
      <c r="T548" s="6">
        <v>0</v>
      </c>
    </row>
    <row r="549" spans="1:20" ht="51">
      <c r="B549" s="6">
        <v>533</v>
      </c>
      <c r="C549" s="36" t="s">
        <v>714</v>
      </c>
      <c r="D549" s="37" t="s">
        <v>715</v>
      </c>
      <c r="E549" s="6" t="s">
        <v>461</v>
      </c>
      <c r="F549" s="70" t="s">
        <v>17</v>
      </c>
      <c r="G549" s="70" t="s">
        <v>17</v>
      </c>
      <c r="H549" s="70" t="s">
        <v>2298</v>
      </c>
      <c r="I549" s="70" t="s">
        <v>2299</v>
      </c>
      <c r="J549" s="70" t="s">
        <v>17</v>
      </c>
      <c r="K549" s="70" t="s">
        <v>17</v>
      </c>
      <c r="L549" s="70" t="s">
        <v>595</v>
      </c>
      <c r="M549" s="38" t="s">
        <v>648</v>
      </c>
      <c r="N549" s="26">
        <v>22</v>
      </c>
      <c r="O549" s="57">
        <v>714</v>
      </c>
      <c r="P549" s="62">
        <f t="shared" si="9"/>
        <v>15708</v>
      </c>
      <c r="Q549" s="6" t="s">
        <v>397</v>
      </c>
      <c r="R549" s="6" t="s">
        <v>770</v>
      </c>
      <c r="S549" s="38" t="s">
        <v>1025</v>
      </c>
      <c r="T549" s="6">
        <v>0</v>
      </c>
    </row>
    <row r="550" spans="1:20" ht="51">
      <c r="B550" s="6">
        <v>534</v>
      </c>
      <c r="C550" s="36" t="s">
        <v>714</v>
      </c>
      <c r="D550" s="37" t="s">
        <v>715</v>
      </c>
      <c r="E550" s="12" t="s">
        <v>463</v>
      </c>
      <c r="F550" s="70" t="s">
        <v>1697</v>
      </c>
      <c r="G550" s="70" t="s">
        <v>464</v>
      </c>
      <c r="H550" s="70" t="s">
        <v>2223</v>
      </c>
      <c r="I550" s="70" t="s">
        <v>2224</v>
      </c>
      <c r="J550" s="70" t="s">
        <v>236</v>
      </c>
      <c r="K550" s="70" t="s">
        <v>236</v>
      </c>
      <c r="L550" s="70" t="s">
        <v>595</v>
      </c>
      <c r="M550" s="38" t="s">
        <v>648</v>
      </c>
      <c r="N550" s="26">
        <v>44</v>
      </c>
      <c r="O550" s="57">
        <v>161</v>
      </c>
      <c r="P550" s="62">
        <f t="shared" si="9"/>
        <v>7084</v>
      </c>
      <c r="Q550" s="6" t="s">
        <v>397</v>
      </c>
      <c r="R550" s="6" t="s">
        <v>770</v>
      </c>
      <c r="S550" s="38" t="s">
        <v>1025</v>
      </c>
      <c r="T550" s="6">
        <v>0</v>
      </c>
    </row>
    <row r="551" spans="1:20" ht="51">
      <c r="B551" s="6">
        <v>535</v>
      </c>
      <c r="C551" s="16" t="s">
        <v>714</v>
      </c>
      <c r="D551" s="37" t="s">
        <v>715</v>
      </c>
      <c r="E551" s="12" t="s">
        <v>466</v>
      </c>
      <c r="F551" s="70" t="s">
        <v>470</v>
      </c>
      <c r="G551" s="70" t="s">
        <v>467</v>
      </c>
      <c r="H551" s="70" t="s">
        <v>2278</v>
      </c>
      <c r="I551" s="70" t="s">
        <v>469</v>
      </c>
      <c r="J551" s="70" t="s">
        <v>470</v>
      </c>
      <c r="K551" s="70" t="s">
        <v>467</v>
      </c>
      <c r="L551" s="70" t="s">
        <v>595</v>
      </c>
      <c r="M551" s="38" t="s">
        <v>648</v>
      </c>
      <c r="N551" s="26">
        <v>44</v>
      </c>
      <c r="O551" s="57">
        <v>161</v>
      </c>
      <c r="P551" s="62">
        <f t="shared" si="9"/>
        <v>7084</v>
      </c>
      <c r="Q551" s="6" t="s">
        <v>397</v>
      </c>
      <c r="R551" s="6" t="s">
        <v>770</v>
      </c>
      <c r="S551" s="38" t="s">
        <v>1025</v>
      </c>
      <c r="T551" s="6">
        <v>0</v>
      </c>
    </row>
    <row r="552" spans="1:20" ht="51">
      <c r="B552" s="6">
        <v>536</v>
      </c>
      <c r="C552" s="36" t="s">
        <v>714</v>
      </c>
      <c r="D552" s="37" t="s">
        <v>715</v>
      </c>
      <c r="E552" s="11" t="s">
        <v>688</v>
      </c>
      <c r="F552" s="70" t="s">
        <v>470</v>
      </c>
      <c r="G552" s="70" t="s">
        <v>25</v>
      </c>
      <c r="H552" s="70" t="s">
        <v>2199</v>
      </c>
      <c r="I552" s="70" t="s">
        <v>689</v>
      </c>
      <c r="J552" s="70" t="s">
        <v>470</v>
      </c>
      <c r="K552" s="70" t="s">
        <v>25</v>
      </c>
      <c r="L552" s="70" t="s">
        <v>595</v>
      </c>
      <c r="M552" s="38" t="s">
        <v>648</v>
      </c>
      <c r="N552" s="26">
        <v>44</v>
      </c>
      <c r="O552" s="57">
        <v>45</v>
      </c>
      <c r="P552" s="62">
        <f t="shared" si="9"/>
        <v>1980</v>
      </c>
      <c r="Q552" s="6" t="s">
        <v>397</v>
      </c>
      <c r="R552" s="6" t="s">
        <v>770</v>
      </c>
      <c r="S552" s="38" t="s">
        <v>1025</v>
      </c>
      <c r="T552" s="6">
        <v>0</v>
      </c>
    </row>
    <row r="553" spans="1:20" ht="51">
      <c r="B553" s="6">
        <v>537</v>
      </c>
      <c r="C553" s="16" t="s">
        <v>714</v>
      </c>
      <c r="D553" s="37" t="s">
        <v>715</v>
      </c>
      <c r="E553" s="11" t="s">
        <v>690</v>
      </c>
      <c r="F553" s="70" t="s">
        <v>2313</v>
      </c>
      <c r="G553" s="70" t="s">
        <v>26</v>
      </c>
      <c r="H553" s="70" t="s">
        <v>2314</v>
      </c>
      <c r="I553" s="70" t="s">
        <v>691</v>
      </c>
      <c r="J553" s="70" t="s">
        <v>2313</v>
      </c>
      <c r="K553" s="70" t="s">
        <v>26</v>
      </c>
      <c r="L553" s="70" t="s">
        <v>595</v>
      </c>
      <c r="M553" s="12" t="s">
        <v>913</v>
      </c>
      <c r="N553" s="26">
        <v>22</v>
      </c>
      <c r="O553" s="57">
        <v>134</v>
      </c>
      <c r="P553" s="62">
        <f t="shared" si="9"/>
        <v>2948</v>
      </c>
      <c r="Q553" s="6" t="s">
        <v>397</v>
      </c>
      <c r="R553" s="6" t="s">
        <v>770</v>
      </c>
      <c r="S553" s="38" t="s">
        <v>1025</v>
      </c>
      <c r="T553" s="6">
        <v>0</v>
      </c>
    </row>
    <row r="554" spans="1:20" ht="114.75">
      <c r="B554" s="6">
        <v>538</v>
      </c>
      <c r="C554" s="36" t="s">
        <v>714</v>
      </c>
      <c r="D554" s="37" t="s">
        <v>715</v>
      </c>
      <c r="E554" s="6" t="s">
        <v>474</v>
      </c>
      <c r="F554" s="70" t="s">
        <v>27</v>
      </c>
      <c r="G554" s="70" t="s">
        <v>27</v>
      </c>
      <c r="H554" s="70" t="s">
        <v>475</v>
      </c>
      <c r="I554" s="70" t="s">
        <v>476</v>
      </c>
      <c r="J554" s="70" t="s">
        <v>27</v>
      </c>
      <c r="K554" s="70" t="s">
        <v>27</v>
      </c>
      <c r="L554" s="70" t="s">
        <v>595</v>
      </c>
      <c r="M554" s="38" t="s">
        <v>648</v>
      </c>
      <c r="N554" s="26">
        <v>2</v>
      </c>
      <c r="O554" s="57">
        <v>2679</v>
      </c>
      <c r="P554" s="62">
        <f t="shared" si="9"/>
        <v>5358</v>
      </c>
      <c r="Q554" s="6" t="s">
        <v>397</v>
      </c>
      <c r="R554" s="6" t="s">
        <v>770</v>
      </c>
      <c r="S554" s="38" t="s">
        <v>1025</v>
      </c>
      <c r="T554" s="6">
        <v>0</v>
      </c>
    </row>
    <row r="555" spans="1:20" ht="51">
      <c r="B555" s="6">
        <v>539</v>
      </c>
      <c r="C555" s="36" t="s">
        <v>714</v>
      </c>
      <c r="D555" s="37" t="s">
        <v>715</v>
      </c>
      <c r="E555" s="11" t="s">
        <v>692</v>
      </c>
      <c r="F555" s="70" t="s">
        <v>850</v>
      </c>
      <c r="G555" s="70" t="s">
        <v>850</v>
      </c>
      <c r="H555" s="70" t="s">
        <v>775</v>
      </c>
      <c r="I555" s="70" t="s">
        <v>775</v>
      </c>
      <c r="J555" s="70" t="s">
        <v>850</v>
      </c>
      <c r="K555" s="70" t="s">
        <v>237</v>
      </c>
      <c r="L555" s="70" t="s">
        <v>595</v>
      </c>
      <c r="M555" s="38" t="s">
        <v>648</v>
      </c>
      <c r="N555" s="26">
        <v>264</v>
      </c>
      <c r="O555" s="57">
        <v>45</v>
      </c>
      <c r="P555" s="62">
        <f t="shared" si="9"/>
        <v>11880</v>
      </c>
      <c r="Q555" s="6" t="s">
        <v>397</v>
      </c>
      <c r="R555" s="6" t="s">
        <v>770</v>
      </c>
      <c r="S555" s="38" t="s">
        <v>1025</v>
      </c>
      <c r="T555" s="6">
        <v>0</v>
      </c>
    </row>
    <row r="556" spans="1:20" ht="51">
      <c r="B556" s="6">
        <v>540</v>
      </c>
      <c r="C556" s="36" t="s">
        <v>714</v>
      </c>
      <c r="D556" s="37" t="s">
        <v>715</v>
      </c>
      <c r="E556" s="6" t="s">
        <v>480</v>
      </c>
      <c r="F556" s="70" t="s">
        <v>481</v>
      </c>
      <c r="G556" s="70" t="s">
        <v>28</v>
      </c>
      <c r="H556" s="70" t="s">
        <v>482</v>
      </c>
      <c r="I556" s="70" t="s">
        <v>483</v>
      </c>
      <c r="J556" s="70" t="s">
        <v>481</v>
      </c>
      <c r="K556" s="70" t="s">
        <v>28</v>
      </c>
      <c r="L556" s="70" t="s">
        <v>595</v>
      </c>
      <c r="M556" s="38" t="s">
        <v>648</v>
      </c>
      <c r="N556" s="26">
        <v>11</v>
      </c>
      <c r="O556" s="57">
        <v>759</v>
      </c>
      <c r="P556" s="62">
        <f t="shared" si="9"/>
        <v>8349</v>
      </c>
      <c r="Q556" s="6" t="s">
        <v>397</v>
      </c>
      <c r="R556" s="6" t="s">
        <v>770</v>
      </c>
      <c r="S556" s="38" t="s">
        <v>1025</v>
      </c>
      <c r="T556" s="6">
        <v>0</v>
      </c>
    </row>
    <row r="557" spans="1:20" ht="51">
      <c r="B557" s="6">
        <v>541</v>
      </c>
      <c r="C557" s="36" t="s">
        <v>714</v>
      </c>
      <c r="D557" s="37" t="s">
        <v>715</v>
      </c>
      <c r="E557" s="11" t="s">
        <v>694</v>
      </c>
      <c r="F557" s="70" t="s">
        <v>2191</v>
      </c>
      <c r="G557" s="70" t="s">
        <v>29</v>
      </c>
      <c r="H557" s="70" t="s">
        <v>851</v>
      </c>
      <c r="I557" s="70" t="s">
        <v>776</v>
      </c>
      <c r="J557" s="70" t="s">
        <v>2191</v>
      </c>
      <c r="K557" s="70" t="s">
        <v>29</v>
      </c>
      <c r="L557" s="70" t="s">
        <v>595</v>
      </c>
      <c r="M557" s="6" t="s">
        <v>484</v>
      </c>
      <c r="N557" s="26">
        <v>132</v>
      </c>
      <c r="O557" s="57">
        <v>27</v>
      </c>
      <c r="P557" s="62">
        <f t="shared" si="9"/>
        <v>3564</v>
      </c>
      <c r="Q557" s="6" t="s">
        <v>397</v>
      </c>
      <c r="R557" s="6" t="s">
        <v>770</v>
      </c>
      <c r="S557" s="38" t="s">
        <v>1025</v>
      </c>
      <c r="T557" s="6">
        <v>0</v>
      </c>
    </row>
    <row r="558" spans="1:20" ht="51">
      <c r="B558" s="6">
        <v>542</v>
      </c>
      <c r="C558" s="36" t="s">
        <v>714</v>
      </c>
      <c r="D558" s="37" t="s">
        <v>715</v>
      </c>
      <c r="E558" s="38" t="s">
        <v>695</v>
      </c>
      <c r="F558" s="70" t="s">
        <v>119</v>
      </c>
      <c r="G558" s="70" t="s">
        <v>119</v>
      </c>
      <c r="H558" s="70" t="s">
        <v>852</v>
      </c>
      <c r="I558" s="70" t="s">
        <v>696</v>
      </c>
      <c r="J558" s="70" t="s">
        <v>119</v>
      </c>
      <c r="K558" s="70" t="s">
        <v>119</v>
      </c>
      <c r="L558" s="70" t="s">
        <v>595</v>
      </c>
      <c r="M558" s="38" t="s">
        <v>648</v>
      </c>
      <c r="N558" s="26">
        <v>66</v>
      </c>
      <c r="O558" s="57">
        <v>103</v>
      </c>
      <c r="P558" s="62">
        <f t="shared" si="9"/>
        <v>6798</v>
      </c>
      <c r="Q558" s="6" t="s">
        <v>519</v>
      </c>
      <c r="R558" s="6" t="s">
        <v>943</v>
      </c>
      <c r="S558" s="38" t="s">
        <v>1025</v>
      </c>
      <c r="T558" s="6">
        <v>100</v>
      </c>
    </row>
    <row r="559" spans="1:20" s="14" customFormat="1" ht="25.5">
      <c r="A559" s="17"/>
      <c r="B559" s="6">
        <v>543</v>
      </c>
      <c r="C559" s="36" t="s">
        <v>714</v>
      </c>
      <c r="D559" s="37" t="s">
        <v>715</v>
      </c>
      <c r="E559" s="40" t="s">
        <v>426</v>
      </c>
      <c r="F559" s="70" t="s">
        <v>427</v>
      </c>
      <c r="G559" s="70" t="s">
        <v>428</v>
      </c>
      <c r="H559" s="70" t="s">
        <v>841</v>
      </c>
      <c r="I559" s="70" t="s">
        <v>429</v>
      </c>
      <c r="J559" s="70" t="s">
        <v>2312</v>
      </c>
      <c r="K559" s="70" t="s">
        <v>231</v>
      </c>
      <c r="L559" s="70" t="s">
        <v>595</v>
      </c>
      <c r="M559" s="12" t="s">
        <v>913</v>
      </c>
      <c r="N559" s="26">
        <v>264</v>
      </c>
      <c r="O559" s="57">
        <v>670</v>
      </c>
      <c r="P559" s="62">
        <f t="shared" si="9"/>
        <v>176880</v>
      </c>
      <c r="Q559" s="6" t="s">
        <v>592</v>
      </c>
      <c r="R559" s="16" t="s">
        <v>592</v>
      </c>
      <c r="S559" s="38" t="s">
        <v>2031</v>
      </c>
      <c r="T559" s="26">
        <v>100</v>
      </c>
    </row>
    <row r="560" spans="1:20" s="14" customFormat="1" ht="63.75">
      <c r="A560" s="17"/>
      <c r="B560" s="6">
        <v>544</v>
      </c>
      <c r="C560" s="36" t="s">
        <v>714</v>
      </c>
      <c r="D560" s="37" t="s">
        <v>715</v>
      </c>
      <c r="E560" s="38" t="s">
        <v>430</v>
      </c>
      <c r="F560" s="70" t="s">
        <v>842</v>
      </c>
      <c r="G560" s="70" t="s">
        <v>19</v>
      </c>
      <c r="H560" s="70" t="s">
        <v>843</v>
      </c>
      <c r="I560" s="70" t="s">
        <v>432</v>
      </c>
      <c r="J560" s="70" t="s">
        <v>842</v>
      </c>
      <c r="K560" s="70" t="s">
        <v>19</v>
      </c>
      <c r="L560" s="70" t="s">
        <v>595</v>
      </c>
      <c r="M560" s="6" t="s">
        <v>673</v>
      </c>
      <c r="N560" s="26">
        <v>22</v>
      </c>
      <c r="O560" s="57">
        <v>313</v>
      </c>
      <c r="P560" s="62">
        <f t="shared" si="9"/>
        <v>6886</v>
      </c>
      <c r="Q560" s="6" t="s">
        <v>395</v>
      </c>
      <c r="R560" s="16" t="s">
        <v>1028</v>
      </c>
      <c r="S560" s="38" t="s">
        <v>2031</v>
      </c>
      <c r="T560" s="26">
        <v>100</v>
      </c>
    </row>
    <row r="561" spans="1:20" s="14" customFormat="1" ht="51">
      <c r="A561" s="17"/>
      <c r="B561" s="6">
        <v>545</v>
      </c>
      <c r="C561" s="36" t="s">
        <v>714</v>
      </c>
      <c r="D561" s="37" t="s">
        <v>715</v>
      </c>
      <c r="E561" s="11" t="s">
        <v>433</v>
      </c>
      <c r="F561" s="70" t="s">
        <v>844</v>
      </c>
      <c r="G561" s="70" t="s">
        <v>434</v>
      </c>
      <c r="H561" s="70" t="s">
        <v>845</v>
      </c>
      <c r="I561" s="70" t="s">
        <v>435</v>
      </c>
      <c r="J561" s="70" t="s">
        <v>844</v>
      </c>
      <c r="K561" s="70" t="s">
        <v>232</v>
      </c>
      <c r="L561" s="70" t="s">
        <v>595</v>
      </c>
      <c r="M561" s="12" t="s">
        <v>913</v>
      </c>
      <c r="N561" s="26">
        <v>44</v>
      </c>
      <c r="O561" s="57">
        <v>223</v>
      </c>
      <c r="P561" s="62">
        <f t="shared" si="9"/>
        <v>9812</v>
      </c>
      <c r="Q561" s="6" t="s">
        <v>395</v>
      </c>
      <c r="R561" s="6" t="s">
        <v>770</v>
      </c>
      <c r="S561" s="38" t="s">
        <v>2031</v>
      </c>
      <c r="T561" s="26">
        <v>100</v>
      </c>
    </row>
    <row r="562" spans="1:20" s="14" customFormat="1" ht="25.5">
      <c r="A562" s="17"/>
      <c r="B562" s="6">
        <v>546</v>
      </c>
      <c r="C562" s="36" t="s">
        <v>714</v>
      </c>
      <c r="D562" s="37" t="s">
        <v>715</v>
      </c>
      <c r="E562" s="12" t="s">
        <v>898</v>
      </c>
      <c r="F562" s="70" t="s">
        <v>771</v>
      </c>
      <c r="G562" s="70" t="s">
        <v>18</v>
      </c>
      <c r="H562" s="70" t="s">
        <v>2188</v>
      </c>
      <c r="I562" s="70" t="s">
        <v>674</v>
      </c>
      <c r="J562" s="70" t="s">
        <v>771</v>
      </c>
      <c r="K562" s="70" t="s">
        <v>18</v>
      </c>
      <c r="L562" s="70" t="s">
        <v>595</v>
      </c>
      <c r="M562" s="6" t="s">
        <v>484</v>
      </c>
      <c r="N562" s="26">
        <v>44</v>
      </c>
      <c r="O562" s="57">
        <v>179</v>
      </c>
      <c r="P562" s="62">
        <f t="shared" si="9"/>
        <v>7876</v>
      </c>
      <c r="Q562" s="6" t="s">
        <v>395</v>
      </c>
      <c r="R562" s="16" t="s">
        <v>1028</v>
      </c>
      <c r="S562" s="38" t="s">
        <v>2031</v>
      </c>
      <c r="T562" s="26">
        <v>100</v>
      </c>
    </row>
    <row r="563" spans="1:20" s="14" customFormat="1" ht="38.25">
      <c r="A563" s="17"/>
      <c r="B563" s="6">
        <v>547</v>
      </c>
      <c r="C563" s="16" t="s">
        <v>714</v>
      </c>
      <c r="D563" s="37" t="s">
        <v>715</v>
      </c>
      <c r="E563" s="6" t="s">
        <v>675</v>
      </c>
      <c r="F563" s="70" t="s">
        <v>20</v>
      </c>
      <c r="G563" s="70" t="s">
        <v>1013</v>
      </c>
      <c r="H563" s="70" t="s">
        <v>2237</v>
      </c>
      <c r="I563" s="70" t="s">
        <v>772</v>
      </c>
      <c r="J563" s="70" t="s">
        <v>20</v>
      </c>
      <c r="K563" s="70" t="s">
        <v>20</v>
      </c>
      <c r="L563" s="70" t="s">
        <v>595</v>
      </c>
      <c r="M563" s="38" t="s">
        <v>648</v>
      </c>
      <c r="N563" s="26">
        <v>44</v>
      </c>
      <c r="O563" s="57">
        <v>107</v>
      </c>
      <c r="P563" s="62">
        <f t="shared" si="9"/>
        <v>4708</v>
      </c>
      <c r="Q563" s="6" t="s">
        <v>395</v>
      </c>
      <c r="R563" s="16" t="s">
        <v>1028</v>
      </c>
      <c r="S563" s="38" t="s">
        <v>2031</v>
      </c>
      <c r="T563" s="26">
        <v>100</v>
      </c>
    </row>
    <row r="564" spans="1:20" s="14" customFormat="1" ht="38.25">
      <c r="A564" s="17"/>
      <c r="B564" s="6">
        <v>548</v>
      </c>
      <c r="C564" s="36" t="s">
        <v>714</v>
      </c>
      <c r="D564" s="37" t="s">
        <v>715</v>
      </c>
      <c r="E564" s="11" t="s">
        <v>677</v>
      </c>
      <c r="F564" s="70" t="s">
        <v>21</v>
      </c>
      <c r="G564" s="70" t="s">
        <v>21</v>
      </c>
      <c r="H564" s="70" t="s">
        <v>2255</v>
      </c>
      <c r="I564" s="70" t="s">
        <v>678</v>
      </c>
      <c r="J564" s="70" t="s">
        <v>21</v>
      </c>
      <c r="K564" s="70" t="s">
        <v>21</v>
      </c>
      <c r="L564" s="70" t="s">
        <v>595</v>
      </c>
      <c r="M564" s="38" t="s">
        <v>648</v>
      </c>
      <c r="N564" s="26">
        <v>11</v>
      </c>
      <c r="O564" s="57">
        <v>1339</v>
      </c>
      <c r="P564" s="62">
        <f t="shared" si="9"/>
        <v>14729</v>
      </c>
      <c r="Q564" s="6" t="s">
        <v>395</v>
      </c>
      <c r="R564" s="16" t="s">
        <v>1028</v>
      </c>
      <c r="S564" s="38" t="s">
        <v>2031</v>
      </c>
      <c r="T564" s="26">
        <v>100</v>
      </c>
    </row>
    <row r="565" spans="1:20" s="14" customFormat="1" ht="63.75">
      <c r="A565" s="17"/>
      <c r="B565" s="6">
        <v>549</v>
      </c>
      <c r="C565" s="16" t="s">
        <v>714</v>
      </c>
      <c r="D565" s="37" t="s">
        <v>715</v>
      </c>
      <c r="E565" s="11" t="s">
        <v>679</v>
      </c>
      <c r="F565" s="70" t="s">
        <v>2085</v>
      </c>
      <c r="G565" s="70" t="s">
        <v>22</v>
      </c>
      <c r="H565" s="70" t="s">
        <v>847</v>
      </c>
      <c r="I565" s="70" t="s">
        <v>773</v>
      </c>
      <c r="J565" s="70" t="s">
        <v>2085</v>
      </c>
      <c r="K565" s="70" t="s">
        <v>22</v>
      </c>
      <c r="L565" s="70" t="s">
        <v>595</v>
      </c>
      <c r="M565" s="6" t="s">
        <v>484</v>
      </c>
      <c r="N565" s="26">
        <v>264</v>
      </c>
      <c r="O565" s="57">
        <v>13</v>
      </c>
      <c r="P565" s="62">
        <f t="shared" si="9"/>
        <v>3432</v>
      </c>
      <c r="Q565" s="6" t="s">
        <v>395</v>
      </c>
      <c r="R565" s="16" t="s">
        <v>1028</v>
      </c>
      <c r="S565" s="38" t="s">
        <v>2031</v>
      </c>
      <c r="T565" s="26">
        <v>100</v>
      </c>
    </row>
    <row r="566" spans="1:20" s="14" customFormat="1" ht="51">
      <c r="A566" s="17"/>
      <c r="B566" s="6">
        <v>550</v>
      </c>
      <c r="C566" s="36" t="s">
        <v>714</v>
      </c>
      <c r="D566" s="37" t="s">
        <v>715</v>
      </c>
      <c r="E566" s="6" t="s">
        <v>447</v>
      </c>
      <c r="F566" s="70" t="s">
        <v>448</v>
      </c>
      <c r="G566" s="70" t="s">
        <v>448</v>
      </c>
      <c r="H566" s="70" t="s">
        <v>449</v>
      </c>
      <c r="I566" s="70" t="s">
        <v>450</v>
      </c>
      <c r="J566" s="70" t="s">
        <v>233</v>
      </c>
      <c r="K566" s="70" t="s">
        <v>233</v>
      </c>
      <c r="L566" s="70" t="s">
        <v>595</v>
      </c>
      <c r="M566" s="38" t="s">
        <v>648</v>
      </c>
      <c r="N566" s="26">
        <v>66</v>
      </c>
      <c r="O566" s="57">
        <v>446</v>
      </c>
      <c r="P566" s="62">
        <f t="shared" si="9"/>
        <v>29436</v>
      </c>
      <c r="Q566" s="6" t="s">
        <v>395</v>
      </c>
      <c r="R566" s="6" t="s">
        <v>770</v>
      </c>
      <c r="S566" s="38" t="s">
        <v>2031</v>
      </c>
      <c r="T566" s="26">
        <v>100</v>
      </c>
    </row>
    <row r="567" spans="1:20" s="14" customFormat="1" ht="51">
      <c r="A567" s="17"/>
      <c r="B567" s="6">
        <v>551</v>
      </c>
      <c r="C567" s="36" t="s">
        <v>714</v>
      </c>
      <c r="D567" s="37" t="s">
        <v>715</v>
      </c>
      <c r="E567" s="11" t="s">
        <v>681</v>
      </c>
      <c r="F567" s="70" t="s">
        <v>2285</v>
      </c>
      <c r="G567" s="70" t="s">
        <v>23</v>
      </c>
      <c r="H567" s="70" t="s">
        <v>848</v>
      </c>
      <c r="I567" s="70" t="s">
        <v>682</v>
      </c>
      <c r="J567" s="70" t="s">
        <v>2285</v>
      </c>
      <c r="K567" s="70" t="s">
        <v>23</v>
      </c>
      <c r="L567" s="70" t="s">
        <v>595</v>
      </c>
      <c r="M567" s="38" t="s">
        <v>648</v>
      </c>
      <c r="N567" s="26">
        <v>66</v>
      </c>
      <c r="O567" s="57">
        <v>268</v>
      </c>
      <c r="P567" s="62">
        <f t="shared" si="9"/>
        <v>17688</v>
      </c>
      <c r="Q567" s="6" t="s">
        <v>395</v>
      </c>
      <c r="R567" s="6" t="s">
        <v>770</v>
      </c>
      <c r="S567" s="38" t="s">
        <v>2031</v>
      </c>
      <c r="T567" s="26">
        <v>100</v>
      </c>
    </row>
    <row r="568" spans="1:20" s="14" customFormat="1" ht="51">
      <c r="A568" s="17"/>
      <c r="B568" s="6">
        <v>552</v>
      </c>
      <c r="C568" s="36" t="s">
        <v>714</v>
      </c>
      <c r="D568" s="37" t="s">
        <v>715</v>
      </c>
      <c r="E568" s="11" t="s">
        <v>683</v>
      </c>
      <c r="F568" s="70" t="s">
        <v>24</v>
      </c>
      <c r="G568" s="70" t="s">
        <v>24</v>
      </c>
      <c r="H568" s="70" t="s">
        <v>2288</v>
      </c>
      <c r="I568" s="70" t="s">
        <v>684</v>
      </c>
      <c r="J568" s="70" t="s">
        <v>24</v>
      </c>
      <c r="K568" s="70" t="s">
        <v>24</v>
      </c>
      <c r="L568" s="70" t="s">
        <v>595</v>
      </c>
      <c r="M568" s="38" t="s">
        <v>648</v>
      </c>
      <c r="N568" s="26">
        <v>11</v>
      </c>
      <c r="O568" s="57">
        <v>223</v>
      </c>
      <c r="P568" s="62">
        <f t="shared" si="9"/>
        <v>2453</v>
      </c>
      <c r="Q568" s="6" t="s">
        <v>395</v>
      </c>
      <c r="R568" s="6" t="s">
        <v>770</v>
      </c>
      <c r="S568" s="38" t="s">
        <v>2031</v>
      </c>
      <c r="T568" s="26">
        <v>100</v>
      </c>
    </row>
    <row r="569" spans="1:20" s="14" customFormat="1" ht="51">
      <c r="A569" s="17"/>
      <c r="B569" s="6">
        <v>553</v>
      </c>
      <c r="C569" s="36" t="s">
        <v>714</v>
      </c>
      <c r="D569" s="37" t="s">
        <v>715</v>
      </c>
      <c r="E569" s="6" t="s">
        <v>453</v>
      </c>
      <c r="F569" s="70" t="s">
        <v>2287</v>
      </c>
      <c r="G569" s="70" t="s">
        <v>454</v>
      </c>
      <c r="H569" s="70" t="s">
        <v>2290</v>
      </c>
      <c r="I569" s="70" t="s">
        <v>455</v>
      </c>
      <c r="J569" s="70" t="s">
        <v>2287</v>
      </c>
      <c r="K569" s="70" t="s">
        <v>234</v>
      </c>
      <c r="L569" s="70" t="s">
        <v>595</v>
      </c>
      <c r="M569" s="6" t="s">
        <v>484</v>
      </c>
      <c r="N569" s="26">
        <v>66</v>
      </c>
      <c r="O569" s="57">
        <v>223</v>
      </c>
      <c r="P569" s="62">
        <f t="shared" si="9"/>
        <v>14718</v>
      </c>
      <c r="Q569" s="6" t="s">
        <v>395</v>
      </c>
      <c r="R569" s="6" t="s">
        <v>770</v>
      </c>
      <c r="S569" s="38" t="s">
        <v>2031</v>
      </c>
      <c r="T569" s="26">
        <v>100</v>
      </c>
    </row>
    <row r="570" spans="1:20" s="14" customFormat="1" ht="51">
      <c r="A570" s="17"/>
      <c r="B570" s="6">
        <v>554</v>
      </c>
      <c r="C570" s="36" t="s">
        <v>714</v>
      </c>
      <c r="D570" s="37" t="s">
        <v>715</v>
      </c>
      <c r="E570" s="6" t="s">
        <v>456</v>
      </c>
      <c r="F570" s="70" t="s">
        <v>457</v>
      </c>
      <c r="G570" s="70" t="s">
        <v>458</v>
      </c>
      <c r="H570" s="70" t="s">
        <v>459</v>
      </c>
      <c r="I570" s="70" t="s">
        <v>460</v>
      </c>
      <c r="J570" s="70" t="s">
        <v>457</v>
      </c>
      <c r="K570" s="70" t="s">
        <v>235</v>
      </c>
      <c r="L570" s="70" t="s">
        <v>595</v>
      </c>
      <c r="M570" s="6" t="s">
        <v>484</v>
      </c>
      <c r="N570" s="26">
        <v>66</v>
      </c>
      <c r="O570" s="57">
        <v>179</v>
      </c>
      <c r="P570" s="62">
        <f t="shared" si="9"/>
        <v>11814</v>
      </c>
      <c r="Q570" s="6" t="s">
        <v>395</v>
      </c>
      <c r="R570" s="6" t="s">
        <v>770</v>
      </c>
      <c r="S570" s="38" t="s">
        <v>2031</v>
      </c>
      <c r="T570" s="26">
        <v>100</v>
      </c>
    </row>
    <row r="571" spans="1:20" s="14" customFormat="1" ht="51">
      <c r="A571" s="17"/>
      <c r="B571" s="6">
        <v>555</v>
      </c>
      <c r="C571" s="36" t="s">
        <v>714</v>
      </c>
      <c r="D571" s="37" t="s">
        <v>715</v>
      </c>
      <c r="E571" s="6" t="s">
        <v>461</v>
      </c>
      <c r="F571" s="70" t="s">
        <v>17</v>
      </c>
      <c r="G571" s="70" t="s">
        <v>17</v>
      </c>
      <c r="H571" s="70" t="s">
        <v>2298</v>
      </c>
      <c r="I571" s="70" t="s">
        <v>2299</v>
      </c>
      <c r="J571" s="70" t="s">
        <v>17</v>
      </c>
      <c r="K571" s="70" t="s">
        <v>17</v>
      </c>
      <c r="L571" s="70" t="s">
        <v>595</v>
      </c>
      <c r="M571" s="38" t="s">
        <v>648</v>
      </c>
      <c r="N571" s="26">
        <v>22</v>
      </c>
      <c r="O571" s="57">
        <v>714</v>
      </c>
      <c r="P571" s="62">
        <f t="shared" si="9"/>
        <v>15708</v>
      </c>
      <c r="Q571" s="6" t="s">
        <v>395</v>
      </c>
      <c r="R571" s="6" t="s">
        <v>770</v>
      </c>
      <c r="S571" s="38" t="s">
        <v>2031</v>
      </c>
      <c r="T571" s="26">
        <v>100</v>
      </c>
    </row>
    <row r="572" spans="1:20" s="14" customFormat="1" ht="25.5">
      <c r="A572" s="17"/>
      <c r="B572" s="6">
        <v>556</v>
      </c>
      <c r="C572" s="36" t="s">
        <v>714</v>
      </c>
      <c r="D572" s="37" t="s">
        <v>715</v>
      </c>
      <c r="E572" s="12" t="s">
        <v>463</v>
      </c>
      <c r="F572" s="70" t="s">
        <v>1697</v>
      </c>
      <c r="G572" s="70" t="s">
        <v>464</v>
      </c>
      <c r="H572" s="70" t="s">
        <v>2223</v>
      </c>
      <c r="I572" s="70" t="s">
        <v>2224</v>
      </c>
      <c r="J572" s="70" t="s">
        <v>236</v>
      </c>
      <c r="K572" s="70" t="s">
        <v>236</v>
      </c>
      <c r="L572" s="70" t="s">
        <v>595</v>
      </c>
      <c r="M572" s="38" t="s">
        <v>648</v>
      </c>
      <c r="N572" s="26">
        <v>44</v>
      </c>
      <c r="O572" s="57">
        <v>161</v>
      </c>
      <c r="P572" s="62">
        <f t="shared" si="9"/>
        <v>7084</v>
      </c>
      <c r="Q572" s="6" t="s">
        <v>395</v>
      </c>
      <c r="R572" s="16" t="s">
        <v>1028</v>
      </c>
      <c r="S572" s="38" t="s">
        <v>2031</v>
      </c>
      <c r="T572" s="26">
        <v>100</v>
      </c>
    </row>
    <row r="573" spans="1:20" s="14" customFormat="1" ht="51">
      <c r="A573" s="17"/>
      <c r="B573" s="6">
        <v>557</v>
      </c>
      <c r="C573" s="16" t="s">
        <v>714</v>
      </c>
      <c r="D573" s="37" t="s">
        <v>715</v>
      </c>
      <c r="E573" s="11" t="s">
        <v>687</v>
      </c>
      <c r="F573" s="70" t="s">
        <v>470</v>
      </c>
      <c r="G573" s="70" t="s">
        <v>467</v>
      </c>
      <c r="H573" s="70" t="s">
        <v>849</v>
      </c>
      <c r="I573" s="70" t="s">
        <v>774</v>
      </c>
      <c r="J573" s="70" t="s">
        <v>470</v>
      </c>
      <c r="K573" s="70" t="s">
        <v>467</v>
      </c>
      <c r="L573" s="70" t="s">
        <v>595</v>
      </c>
      <c r="M573" s="38" t="s">
        <v>648</v>
      </c>
      <c r="N573" s="26">
        <v>44</v>
      </c>
      <c r="O573" s="57">
        <v>161</v>
      </c>
      <c r="P573" s="62">
        <f t="shared" si="9"/>
        <v>7084</v>
      </c>
      <c r="Q573" s="6" t="s">
        <v>395</v>
      </c>
      <c r="R573" s="6" t="s">
        <v>770</v>
      </c>
      <c r="S573" s="38" t="s">
        <v>2031</v>
      </c>
      <c r="T573" s="26">
        <v>100</v>
      </c>
    </row>
    <row r="574" spans="1:20" s="14" customFormat="1" ht="25.5">
      <c r="A574" s="17"/>
      <c r="B574" s="6">
        <v>558</v>
      </c>
      <c r="C574" s="36" t="s">
        <v>714</v>
      </c>
      <c r="D574" s="37" t="s">
        <v>715</v>
      </c>
      <c r="E574" s="11" t="s">
        <v>688</v>
      </c>
      <c r="F574" s="70" t="s">
        <v>470</v>
      </c>
      <c r="G574" s="70" t="s">
        <v>25</v>
      </c>
      <c r="H574" s="70" t="s">
        <v>2199</v>
      </c>
      <c r="I574" s="70" t="s">
        <v>689</v>
      </c>
      <c r="J574" s="70" t="s">
        <v>470</v>
      </c>
      <c r="K574" s="70" t="s">
        <v>25</v>
      </c>
      <c r="L574" s="70" t="s">
        <v>595</v>
      </c>
      <c r="M574" s="38" t="s">
        <v>648</v>
      </c>
      <c r="N574" s="26">
        <v>44</v>
      </c>
      <c r="O574" s="57">
        <v>45</v>
      </c>
      <c r="P574" s="62">
        <f t="shared" si="9"/>
        <v>1980</v>
      </c>
      <c r="Q574" s="6" t="s">
        <v>395</v>
      </c>
      <c r="R574" s="16" t="s">
        <v>1028</v>
      </c>
      <c r="S574" s="38" t="s">
        <v>2031</v>
      </c>
      <c r="T574" s="26">
        <v>100</v>
      </c>
    </row>
    <row r="575" spans="1:20" s="14" customFormat="1" ht="25.5">
      <c r="A575" s="17"/>
      <c r="B575" s="6">
        <v>559</v>
      </c>
      <c r="C575" s="16" t="s">
        <v>714</v>
      </c>
      <c r="D575" s="37" t="s">
        <v>715</v>
      </c>
      <c r="E575" s="11" t="s">
        <v>690</v>
      </c>
      <c r="F575" s="70" t="s">
        <v>2313</v>
      </c>
      <c r="G575" s="70" t="s">
        <v>26</v>
      </c>
      <c r="H575" s="70" t="s">
        <v>2314</v>
      </c>
      <c r="I575" s="70" t="s">
        <v>691</v>
      </c>
      <c r="J575" s="70" t="s">
        <v>2313</v>
      </c>
      <c r="K575" s="70" t="s">
        <v>26</v>
      </c>
      <c r="L575" s="70" t="s">
        <v>595</v>
      </c>
      <c r="M575" s="12" t="s">
        <v>913</v>
      </c>
      <c r="N575" s="26">
        <v>22</v>
      </c>
      <c r="O575" s="57">
        <v>134</v>
      </c>
      <c r="P575" s="62">
        <f t="shared" si="9"/>
        <v>2948</v>
      </c>
      <c r="Q575" s="6" t="s">
        <v>395</v>
      </c>
      <c r="R575" s="16" t="s">
        <v>1028</v>
      </c>
      <c r="S575" s="38" t="s">
        <v>2031</v>
      </c>
      <c r="T575" s="26">
        <v>100</v>
      </c>
    </row>
    <row r="576" spans="1:20" s="14" customFormat="1" ht="114.75">
      <c r="A576" s="17"/>
      <c r="B576" s="6">
        <v>560</v>
      </c>
      <c r="C576" s="36" t="s">
        <v>714</v>
      </c>
      <c r="D576" s="37" t="s">
        <v>715</v>
      </c>
      <c r="E576" s="6" t="s">
        <v>474</v>
      </c>
      <c r="F576" s="70" t="s">
        <v>27</v>
      </c>
      <c r="G576" s="70" t="s">
        <v>27</v>
      </c>
      <c r="H576" s="70" t="s">
        <v>475</v>
      </c>
      <c r="I576" s="70" t="s">
        <v>476</v>
      </c>
      <c r="J576" s="70" t="s">
        <v>27</v>
      </c>
      <c r="K576" s="70" t="s">
        <v>27</v>
      </c>
      <c r="L576" s="70" t="s">
        <v>595</v>
      </c>
      <c r="M576" s="38" t="s">
        <v>648</v>
      </c>
      <c r="N576" s="26">
        <v>2</v>
      </c>
      <c r="O576" s="57">
        <v>2679</v>
      </c>
      <c r="P576" s="62">
        <f t="shared" si="9"/>
        <v>5358</v>
      </c>
      <c r="Q576" s="6" t="s">
        <v>395</v>
      </c>
      <c r="R576" s="16" t="s">
        <v>1028</v>
      </c>
      <c r="S576" s="38" t="s">
        <v>2031</v>
      </c>
      <c r="T576" s="26">
        <v>100</v>
      </c>
    </row>
    <row r="577" spans="1:20" s="14" customFormat="1" ht="25.5">
      <c r="A577" s="17"/>
      <c r="B577" s="6">
        <v>561</v>
      </c>
      <c r="C577" s="36" t="s">
        <v>714</v>
      </c>
      <c r="D577" s="37" t="s">
        <v>715</v>
      </c>
      <c r="E577" s="11" t="s">
        <v>692</v>
      </c>
      <c r="F577" s="70" t="s">
        <v>850</v>
      </c>
      <c r="G577" s="70" t="s">
        <v>850</v>
      </c>
      <c r="H577" s="70" t="s">
        <v>775</v>
      </c>
      <c r="I577" s="70" t="s">
        <v>775</v>
      </c>
      <c r="J577" s="70" t="s">
        <v>850</v>
      </c>
      <c r="K577" s="70" t="s">
        <v>237</v>
      </c>
      <c r="L577" s="70" t="s">
        <v>595</v>
      </c>
      <c r="M577" s="38" t="s">
        <v>648</v>
      </c>
      <c r="N577" s="26">
        <v>264</v>
      </c>
      <c r="O577" s="57">
        <v>45</v>
      </c>
      <c r="P577" s="62">
        <f t="shared" si="9"/>
        <v>11880</v>
      </c>
      <c r="Q577" s="6" t="s">
        <v>395</v>
      </c>
      <c r="R577" s="16" t="s">
        <v>1028</v>
      </c>
      <c r="S577" s="38" t="s">
        <v>2031</v>
      </c>
      <c r="T577" s="26">
        <v>100</v>
      </c>
    </row>
    <row r="578" spans="1:20" s="14" customFormat="1" ht="38.25">
      <c r="A578" s="17"/>
      <c r="B578" s="6">
        <v>562</v>
      </c>
      <c r="C578" s="36" t="s">
        <v>714</v>
      </c>
      <c r="D578" s="37" t="s">
        <v>715</v>
      </c>
      <c r="E578" s="6" t="s">
        <v>480</v>
      </c>
      <c r="F578" s="70" t="s">
        <v>481</v>
      </c>
      <c r="G578" s="70" t="s">
        <v>28</v>
      </c>
      <c r="H578" s="70" t="s">
        <v>482</v>
      </c>
      <c r="I578" s="70" t="s">
        <v>483</v>
      </c>
      <c r="J578" s="70" t="s">
        <v>481</v>
      </c>
      <c r="K578" s="70" t="s">
        <v>28</v>
      </c>
      <c r="L578" s="70" t="s">
        <v>595</v>
      </c>
      <c r="M578" s="38" t="s">
        <v>648</v>
      </c>
      <c r="N578" s="26">
        <v>11</v>
      </c>
      <c r="O578" s="57">
        <v>759</v>
      </c>
      <c r="P578" s="62">
        <f t="shared" si="9"/>
        <v>8349</v>
      </c>
      <c r="Q578" s="6" t="s">
        <v>395</v>
      </c>
      <c r="R578" s="16" t="s">
        <v>1028</v>
      </c>
      <c r="S578" s="38" t="s">
        <v>2031</v>
      </c>
      <c r="T578" s="26">
        <v>100</v>
      </c>
    </row>
    <row r="579" spans="1:20" s="14" customFormat="1" ht="25.5">
      <c r="A579" s="17"/>
      <c r="B579" s="6">
        <v>563</v>
      </c>
      <c r="C579" s="36" t="s">
        <v>714</v>
      </c>
      <c r="D579" s="37" t="s">
        <v>715</v>
      </c>
      <c r="E579" s="11" t="s">
        <v>694</v>
      </c>
      <c r="F579" s="70" t="s">
        <v>2191</v>
      </c>
      <c r="G579" s="70" t="s">
        <v>29</v>
      </c>
      <c r="H579" s="70" t="s">
        <v>851</v>
      </c>
      <c r="I579" s="70" t="s">
        <v>776</v>
      </c>
      <c r="J579" s="70" t="s">
        <v>2191</v>
      </c>
      <c r="K579" s="70" t="s">
        <v>29</v>
      </c>
      <c r="L579" s="70" t="s">
        <v>595</v>
      </c>
      <c r="M579" s="6" t="s">
        <v>484</v>
      </c>
      <c r="N579" s="26">
        <v>132</v>
      </c>
      <c r="O579" s="57">
        <v>27</v>
      </c>
      <c r="P579" s="62">
        <f t="shared" si="9"/>
        <v>3564</v>
      </c>
      <c r="Q579" s="6" t="s">
        <v>395</v>
      </c>
      <c r="R579" s="16" t="s">
        <v>1028</v>
      </c>
      <c r="S579" s="38" t="s">
        <v>2031</v>
      </c>
      <c r="T579" s="26">
        <v>100</v>
      </c>
    </row>
    <row r="580" spans="1:20" s="14" customFormat="1" ht="51">
      <c r="A580" s="17"/>
      <c r="B580" s="6">
        <v>564</v>
      </c>
      <c r="C580" s="36" t="s">
        <v>714</v>
      </c>
      <c r="D580" s="37" t="s">
        <v>715</v>
      </c>
      <c r="E580" s="38" t="s">
        <v>695</v>
      </c>
      <c r="F580" s="70" t="s">
        <v>119</v>
      </c>
      <c r="G580" s="70" t="s">
        <v>119</v>
      </c>
      <c r="H580" s="70" t="s">
        <v>852</v>
      </c>
      <c r="I580" s="70" t="s">
        <v>696</v>
      </c>
      <c r="J580" s="70" t="s">
        <v>119</v>
      </c>
      <c r="K580" s="70" t="s">
        <v>119</v>
      </c>
      <c r="L580" s="70" t="s">
        <v>595</v>
      </c>
      <c r="M580" s="38" t="s">
        <v>648</v>
      </c>
      <c r="N580" s="26">
        <v>66</v>
      </c>
      <c r="O580" s="57">
        <v>103</v>
      </c>
      <c r="P580" s="62">
        <f t="shared" si="9"/>
        <v>6798</v>
      </c>
      <c r="Q580" s="6" t="s">
        <v>395</v>
      </c>
      <c r="R580" s="16" t="s">
        <v>1028</v>
      </c>
      <c r="S580" s="38" t="s">
        <v>2031</v>
      </c>
      <c r="T580" s="26">
        <v>100</v>
      </c>
    </row>
    <row r="581" spans="1:20" ht="51">
      <c r="B581" s="6">
        <v>565</v>
      </c>
      <c r="C581" s="36" t="s">
        <v>714</v>
      </c>
      <c r="D581" s="37" t="s">
        <v>715</v>
      </c>
      <c r="E581" s="40" t="s">
        <v>426</v>
      </c>
      <c r="F581" s="70" t="s">
        <v>427</v>
      </c>
      <c r="G581" s="70" t="s">
        <v>428</v>
      </c>
      <c r="H581" s="70" t="s">
        <v>841</v>
      </c>
      <c r="I581" s="70" t="s">
        <v>429</v>
      </c>
      <c r="J581" s="70" t="s">
        <v>2312</v>
      </c>
      <c r="K581" s="70" t="s">
        <v>231</v>
      </c>
      <c r="L581" s="70" t="s">
        <v>595</v>
      </c>
      <c r="M581" s="12" t="s">
        <v>913</v>
      </c>
      <c r="N581" s="26">
        <v>288</v>
      </c>
      <c r="O581" s="57">
        <v>670</v>
      </c>
      <c r="P581" s="62">
        <f t="shared" si="9"/>
        <v>192960</v>
      </c>
      <c r="Q581" s="6" t="s">
        <v>519</v>
      </c>
      <c r="R581" s="6" t="s">
        <v>770</v>
      </c>
      <c r="S581" s="38" t="s">
        <v>637</v>
      </c>
      <c r="T581" s="26">
        <v>0</v>
      </c>
    </row>
    <row r="582" spans="1:20" ht="63.75">
      <c r="B582" s="6">
        <v>566</v>
      </c>
      <c r="C582" s="36" t="s">
        <v>714</v>
      </c>
      <c r="D582" s="37" t="s">
        <v>715</v>
      </c>
      <c r="E582" s="38" t="s">
        <v>430</v>
      </c>
      <c r="F582" s="70" t="s">
        <v>842</v>
      </c>
      <c r="G582" s="70" t="s">
        <v>19</v>
      </c>
      <c r="H582" s="70" t="s">
        <v>843</v>
      </c>
      <c r="I582" s="70" t="s">
        <v>432</v>
      </c>
      <c r="J582" s="70" t="s">
        <v>842</v>
      </c>
      <c r="K582" s="70" t="s">
        <v>19</v>
      </c>
      <c r="L582" s="70" t="s">
        <v>595</v>
      </c>
      <c r="M582" s="6" t="s">
        <v>673</v>
      </c>
      <c r="N582" s="26">
        <v>24</v>
      </c>
      <c r="O582" s="57">
        <v>313</v>
      </c>
      <c r="P582" s="62">
        <f t="shared" si="9"/>
        <v>7512</v>
      </c>
      <c r="Q582" s="6" t="s">
        <v>397</v>
      </c>
      <c r="R582" s="6" t="s">
        <v>770</v>
      </c>
      <c r="S582" s="38" t="s">
        <v>637</v>
      </c>
      <c r="T582" s="26">
        <v>0</v>
      </c>
    </row>
    <row r="583" spans="1:20" ht="51">
      <c r="B583" s="6">
        <v>567</v>
      </c>
      <c r="C583" s="36" t="s">
        <v>714</v>
      </c>
      <c r="D583" s="37" t="s">
        <v>715</v>
      </c>
      <c r="E583" s="11" t="s">
        <v>433</v>
      </c>
      <c r="F583" s="70" t="s">
        <v>844</v>
      </c>
      <c r="G583" s="70" t="s">
        <v>434</v>
      </c>
      <c r="H583" s="70" t="s">
        <v>845</v>
      </c>
      <c r="I583" s="70" t="s">
        <v>435</v>
      </c>
      <c r="J583" s="70" t="s">
        <v>844</v>
      </c>
      <c r="K583" s="70" t="s">
        <v>232</v>
      </c>
      <c r="L583" s="70" t="s">
        <v>595</v>
      </c>
      <c r="M583" s="12" t="s">
        <v>913</v>
      </c>
      <c r="N583" s="26">
        <v>48</v>
      </c>
      <c r="O583" s="57">
        <v>223</v>
      </c>
      <c r="P583" s="62">
        <f t="shared" si="9"/>
        <v>10704</v>
      </c>
      <c r="Q583" s="6" t="s">
        <v>397</v>
      </c>
      <c r="R583" s="6" t="s">
        <v>770</v>
      </c>
      <c r="S583" s="38" t="s">
        <v>637</v>
      </c>
      <c r="T583" s="26">
        <v>0</v>
      </c>
    </row>
    <row r="584" spans="1:20" ht="51">
      <c r="B584" s="6">
        <v>568</v>
      </c>
      <c r="C584" s="36" t="s">
        <v>714</v>
      </c>
      <c r="D584" s="37" t="s">
        <v>715</v>
      </c>
      <c r="E584" s="12" t="s">
        <v>898</v>
      </c>
      <c r="F584" s="70" t="s">
        <v>771</v>
      </c>
      <c r="G584" s="70" t="s">
        <v>18</v>
      </c>
      <c r="H584" s="70" t="s">
        <v>2188</v>
      </c>
      <c r="I584" s="70" t="s">
        <v>674</v>
      </c>
      <c r="J584" s="70" t="s">
        <v>771</v>
      </c>
      <c r="K584" s="70" t="s">
        <v>18</v>
      </c>
      <c r="L584" s="70" t="s">
        <v>595</v>
      </c>
      <c r="M584" s="6" t="s">
        <v>484</v>
      </c>
      <c r="N584" s="26">
        <v>48</v>
      </c>
      <c r="O584" s="57">
        <v>179</v>
      </c>
      <c r="P584" s="62">
        <f t="shared" si="9"/>
        <v>8592</v>
      </c>
      <c r="Q584" s="6" t="s">
        <v>397</v>
      </c>
      <c r="R584" s="6" t="s">
        <v>770</v>
      </c>
      <c r="S584" s="38" t="s">
        <v>637</v>
      </c>
      <c r="T584" s="26">
        <v>0</v>
      </c>
    </row>
    <row r="585" spans="1:20" ht="51">
      <c r="B585" s="6">
        <v>569</v>
      </c>
      <c r="C585" s="16" t="s">
        <v>714</v>
      </c>
      <c r="D585" s="37" t="s">
        <v>715</v>
      </c>
      <c r="E585" s="6" t="s">
        <v>675</v>
      </c>
      <c r="F585" s="70" t="s">
        <v>20</v>
      </c>
      <c r="G585" s="70" t="s">
        <v>20</v>
      </c>
      <c r="H585" s="70" t="s">
        <v>2237</v>
      </c>
      <c r="I585" s="70" t="s">
        <v>676</v>
      </c>
      <c r="J585" s="70" t="s">
        <v>20</v>
      </c>
      <c r="K585" s="70" t="s">
        <v>20</v>
      </c>
      <c r="L585" s="70" t="s">
        <v>595</v>
      </c>
      <c r="M585" s="38" t="s">
        <v>648</v>
      </c>
      <c r="N585" s="26">
        <v>48</v>
      </c>
      <c r="O585" s="57">
        <v>107</v>
      </c>
      <c r="P585" s="62">
        <f t="shared" si="9"/>
        <v>5136</v>
      </c>
      <c r="Q585" s="6" t="s">
        <v>397</v>
      </c>
      <c r="R585" s="6" t="s">
        <v>770</v>
      </c>
      <c r="S585" s="38" t="s">
        <v>637</v>
      </c>
      <c r="T585" s="26">
        <v>0</v>
      </c>
    </row>
    <row r="586" spans="1:20" ht="51">
      <c r="B586" s="6">
        <v>570</v>
      </c>
      <c r="C586" s="36" t="s">
        <v>714</v>
      </c>
      <c r="D586" s="37" t="s">
        <v>715</v>
      </c>
      <c r="E586" s="11" t="s">
        <v>677</v>
      </c>
      <c r="F586" s="70" t="s">
        <v>21</v>
      </c>
      <c r="G586" s="70" t="s">
        <v>21</v>
      </c>
      <c r="H586" s="70" t="s">
        <v>2255</v>
      </c>
      <c r="I586" s="70" t="s">
        <v>678</v>
      </c>
      <c r="J586" s="70" t="s">
        <v>21</v>
      </c>
      <c r="K586" s="70" t="s">
        <v>21</v>
      </c>
      <c r="L586" s="70" t="s">
        <v>595</v>
      </c>
      <c r="M586" s="38" t="s">
        <v>648</v>
      </c>
      <c r="N586" s="26">
        <v>12</v>
      </c>
      <c r="O586" s="57">
        <v>1339</v>
      </c>
      <c r="P586" s="62">
        <f t="shared" si="9"/>
        <v>16068</v>
      </c>
      <c r="Q586" s="6" t="s">
        <v>397</v>
      </c>
      <c r="R586" s="6" t="s">
        <v>770</v>
      </c>
      <c r="S586" s="38" t="s">
        <v>637</v>
      </c>
      <c r="T586" s="26">
        <v>0</v>
      </c>
    </row>
    <row r="587" spans="1:20" ht="63.75">
      <c r="B587" s="6">
        <v>571</v>
      </c>
      <c r="C587" s="16" t="s">
        <v>714</v>
      </c>
      <c r="D587" s="37" t="s">
        <v>715</v>
      </c>
      <c r="E587" s="11" t="s">
        <v>679</v>
      </c>
      <c r="F587" s="70" t="s">
        <v>2085</v>
      </c>
      <c r="G587" s="70" t="s">
        <v>22</v>
      </c>
      <c r="H587" s="70" t="s">
        <v>847</v>
      </c>
      <c r="I587" s="70" t="s">
        <v>773</v>
      </c>
      <c r="J587" s="70" t="s">
        <v>2085</v>
      </c>
      <c r="K587" s="70" t="s">
        <v>22</v>
      </c>
      <c r="L587" s="70" t="s">
        <v>595</v>
      </c>
      <c r="M587" s="6" t="s">
        <v>484</v>
      </c>
      <c r="N587" s="26">
        <v>288</v>
      </c>
      <c r="O587" s="57">
        <v>13</v>
      </c>
      <c r="P587" s="62">
        <f t="shared" si="9"/>
        <v>3744</v>
      </c>
      <c r="Q587" s="6" t="s">
        <v>397</v>
      </c>
      <c r="R587" s="6" t="s">
        <v>770</v>
      </c>
      <c r="S587" s="38" t="s">
        <v>637</v>
      </c>
      <c r="T587" s="26">
        <v>0</v>
      </c>
    </row>
    <row r="588" spans="1:20" ht="51">
      <c r="B588" s="6">
        <v>572</v>
      </c>
      <c r="C588" s="36" t="s">
        <v>714</v>
      </c>
      <c r="D588" s="37" t="s">
        <v>715</v>
      </c>
      <c r="E588" s="6" t="s">
        <v>447</v>
      </c>
      <c r="F588" s="70" t="s">
        <v>448</v>
      </c>
      <c r="G588" s="70" t="s">
        <v>448</v>
      </c>
      <c r="H588" s="70" t="s">
        <v>449</v>
      </c>
      <c r="I588" s="70" t="s">
        <v>450</v>
      </c>
      <c r="J588" s="70" t="s">
        <v>233</v>
      </c>
      <c r="K588" s="70" t="s">
        <v>233</v>
      </c>
      <c r="L588" s="70" t="s">
        <v>595</v>
      </c>
      <c r="M588" s="38" t="s">
        <v>648</v>
      </c>
      <c r="N588" s="26">
        <v>72</v>
      </c>
      <c r="O588" s="57">
        <v>446</v>
      </c>
      <c r="P588" s="62">
        <f t="shared" si="9"/>
        <v>32112</v>
      </c>
      <c r="Q588" s="6" t="s">
        <v>397</v>
      </c>
      <c r="R588" s="6" t="s">
        <v>770</v>
      </c>
      <c r="S588" s="38" t="s">
        <v>637</v>
      </c>
      <c r="T588" s="26">
        <v>0</v>
      </c>
    </row>
    <row r="589" spans="1:20" ht="51">
      <c r="B589" s="6">
        <v>573</v>
      </c>
      <c r="C589" s="36" t="s">
        <v>714</v>
      </c>
      <c r="D589" s="37" t="s">
        <v>715</v>
      </c>
      <c r="E589" s="11" t="s">
        <v>681</v>
      </c>
      <c r="F589" s="70" t="s">
        <v>2285</v>
      </c>
      <c r="G589" s="70" t="s">
        <v>23</v>
      </c>
      <c r="H589" s="70" t="s">
        <v>848</v>
      </c>
      <c r="I589" s="70" t="s">
        <v>682</v>
      </c>
      <c r="J589" s="70" t="s">
        <v>2285</v>
      </c>
      <c r="K589" s="70" t="s">
        <v>23</v>
      </c>
      <c r="L589" s="70" t="s">
        <v>595</v>
      </c>
      <c r="M589" s="38" t="s">
        <v>648</v>
      </c>
      <c r="N589" s="26">
        <v>72</v>
      </c>
      <c r="O589" s="57">
        <v>268</v>
      </c>
      <c r="P589" s="62">
        <f t="shared" si="9"/>
        <v>19296</v>
      </c>
      <c r="Q589" s="6" t="s">
        <v>397</v>
      </c>
      <c r="R589" s="6" t="s">
        <v>770</v>
      </c>
      <c r="S589" s="38" t="s">
        <v>637</v>
      </c>
      <c r="T589" s="26">
        <v>0</v>
      </c>
    </row>
    <row r="590" spans="1:20" ht="51">
      <c r="B590" s="6">
        <v>574</v>
      </c>
      <c r="C590" s="36" t="s">
        <v>714</v>
      </c>
      <c r="D590" s="37" t="s">
        <v>715</v>
      </c>
      <c r="E590" s="11" t="s">
        <v>683</v>
      </c>
      <c r="F590" s="70" t="s">
        <v>24</v>
      </c>
      <c r="G590" s="70" t="s">
        <v>24</v>
      </c>
      <c r="H590" s="70" t="s">
        <v>2288</v>
      </c>
      <c r="I590" s="70" t="s">
        <v>684</v>
      </c>
      <c r="J590" s="70" t="s">
        <v>24</v>
      </c>
      <c r="K590" s="70" t="s">
        <v>24</v>
      </c>
      <c r="L590" s="70" t="s">
        <v>595</v>
      </c>
      <c r="M590" s="38" t="s">
        <v>648</v>
      </c>
      <c r="N590" s="26">
        <v>12</v>
      </c>
      <c r="O590" s="57">
        <v>223</v>
      </c>
      <c r="P590" s="62">
        <f t="shared" si="9"/>
        <v>2676</v>
      </c>
      <c r="Q590" s="6" t="s">
        <v>397</v>
      </c>
      <c r="R590" s="6" t="s">
        <v>770</v>
      </c>
      <c r="S590" s="38" t="s">
        <v>637</v>
      </c>
      <c r="T590" s="26">
        <v>0</v>
      </c>
    </row>
    <row r="591" spans="1:20" ht="51">
      <c r="B591" s="6">
        <v>575</v>
      </c>
      <c r="C591" s="36" t="s">
        <v>714</v>
      </c>
      <c r="D591" s="37" t="s">
        <v>715</v>
      </c>
      <c r="E591" s="6" t="s">
        <v>453</v>
      </c>
      <c r="F591" s="70" t="s">
        <v>2287</v>
      </c>
      <c r="G591" s="70" t="s">
        <v>454</v>
      </c>
      <c r="H591" s="70" t="s">
        <v>2290</v>
      </c>
      <c r="I591" s="70" t="s">
        <v>455</v>
      </c>
      <c r="J591" s="70" t="s">
        <v>2287</v>
      </c>
      <c r="K591" s="70" t="s">
        <v>234</v>
      </c>
      <c r="L591" s="70" t="s">
        <v>595</v>
      </c>
      <c r="M591" s="6" t="s">
        <v>484</v>
      </c>
      <c r="N591" s="26">
        <v>72</v>
      </c>
      <c r="O591" s="57">
        <v>223</v>
      </c>
      <c r="P591" s="62">
        <f t="shared" si="9"/>
        <v>16056</v>
      </c>
      <c r="Q591" s="6" t="s">
        <v>397</v>
      </c>
      <c r="R591" s="6" t="s">
        <v>770</v>
      </c>
      <c r="S591" s="38" t="s">
        <v>637</v>
      </c>
      <c r="T591" s="26">
        <v>0</v>
      </c>
    </row>
    <row r="592" spans="1:20" ht="51">
      <c r="B592" s="6">
        <v>576</v>
      </c>
      <c r="C592" s="36" t="s">
        <v>714</v>
      </c>
      <c r="D592" s="37" t="s">
        <v>715</v>
      </c>
      <c r="E592" s="6" t="s">
        <v>456</v>
      </c>
      <c r="F592" s="70" t="s">
        <v>457</v>
      </c>
      <c r="G592" s="70" t="s">
        <v>458</v>
      </c>
      <c r="H592" s="70" t="s">
        <v>459</v>
      </c>
      <c r="I592" s="70" t="s">
        <v>460</v>
      </c>
      <c r="J592" s="70" t="s">
        <v>457</v>
      </c>
      <c r="K592" s="70" t="s">
        <v>235</v>
      </c>
      <c r="L592" s="70" t="s">
        <v>595</v>
      </c>
      <c r="M592" s="6" t="s">
        <v>484</v>
      </c>
      <c r="N592" s="26">
        <v>72</v>
      </c>
      <c r="O592" s="57">
        <v>179</v>
      </c>
      <c r="P592" s="62">
        <f t="shared" si="9"/>
        <v>12888</v>
      </c>
      <c r="Q592" s="6" t="s">
        <v>397</v>
      </c>
      <c r="R592" s="6" t="s">
        <v>770</v>
      </c>
      <c r="S592" s="38" t="s">
        <v>637</v>
      </c>
      <c r="T592" s="26">
        <v>0</v>
      </c>
    </row>
    <row r="593" spans="2:20" ht="51">
      <c r="B593" s="6">
        <v>577</v>
      </c>
      <c r="C593" s="36" t="s">
        <v>714</v>
      </c>
      <c r="D593" s="37" t="s">
        <v>715</v>
      </c>
      <c r="E593" s="6" t="s">
        <v>461</v>
      </c>
      <c r="F593" s="70" t="s">
        <v>17</v>
      </c>
      <c r="G593" s="70" t="s">
        <v>17</v>
      </c>
      <c r="H593" s="70" t="s">
        <v>2298</v>
      </c>
      <c r="I593" s="70" t="s">
        <v>2299</v>
      </c>
      <c r="J593" s="70" t="s">
        <v>17</v>
      </c>
      <c r="K593" s="70" t="s">
        <v>17</v>
      </c>
      <c r="L593" s="70" t="s">
        <v>595</v>
      </c>
      <c r="M593" s="38" t="s">
        <v>648</v>
      </c>
      <c r="N593" s="26">
        <v>24</v>
      </c>
      <c r="O593" s="57">
        <v>714</v>
      </c>
      <c r="P593" s="62">
        <f t="shared" ref="P593:P656" si="10">N593*O593</f>
        <v>17136</v>
      </c>
      <c r="Q593" s="6" t="s">
        <v>397</v>
      </c>
      <c r="R593" s="6" t="s">
        <v>770</v>
      </c>
      <c r="S593" s="38" t="s">
        <v>637</v>
      </c>
      <c r="T593" s="26">
        <v>0</v>
      </c>
    </row>
    <row r="594" spans="2:20" ht="51">
      <c r="B594" s="6">
        <v>578</v>
      </c>
      <c r="C594" s="36" t="s">
        <v>714</v>
      </c>
      <c r="D594" s="37" t="s">
        <v>715</v>
      </c>
      <c r="E594" s="12" t="s">
        <v>463</v>
      </c>
      <c r="F594" s="70" t="s">
        <v>1697</v>
      </c>
      <c r="G594" s="70" t="s">
        <v>464</v>
      </c>
      <c r="H594" s="70" t="s">
        <v>2223</v>
      </c>
      <c r="I594" s="70" t="s">
        <v>2224</v>
      </c>
      <c r="J594" s="70" t="s">
        <v>236</v>
      </c>
      <c r="K594" s="70" t="s">
        <v>236</v>
      </c>
      <c r="L594" s="70" t="s">
        <v>595</v>
      </c>
      <c r="M594" s="38" t="s">
        <v>648</v>
      </c>
      <c r="N594" s="26">
        <v>48</v>
      </c>
      <c r="O594" s="57">
        <v>161</v>
      </c>
      <c r="P594" s="62">
        <f t="shared" si="10"/>
        <v>7728</v>
      </c>
      <c r="Q594" s="6" t="s">
        <v>397</v>
      </c>
      <c r="R594" s="6" t="s">
        <v>770</v>
      </c>
      <c r="S594" s="38" t="s">
        <v>637</v>
      </c>
      <c r="T594" s="26">
        <v>0</v>
      </c>
    </row>
    <row r="595" spans="2:20" ht="51">
      <c r="B595" s="6">
        <v>579</v>
      </c>
      <c r="C595" s="16" t="s">
        <v>714</v>
      </c>
      <c r="D595" s="37" t="s">
        <v>715</v>
      </c>
      <c r="E595" s="11" t="s">
        <v>687</v>
      </c>
      <c r="F595" s="70" t="s">
        <v>470</v>
      </c>
      <c r="G595" s="70" t="s">
        <v>467</v>
      </c>
      <c r="H595" s="70" t="s">
        <v>849</v>
      </c>
      <c r="I595" s="70" t="s">
        <v>774</v>
      </c>
      <c r="J595" s="70" t="s">
        <v>470</v>
      </c>
      <c r="K595" s="70" t="s">
        <v>467</v>
      </c>
      <c r="L595" s="70" t="s">
        <v>595</v>
      </c>
      <c r="M595" s="38" t="s">
        <v>648</v>
      </c>
      <c r="N595" s="26">
        <v>48</v>
      </c>
      <c r="O595" s="57">
        <v>161</v>
      </c>
      <c r="P595" s="62">
        <f t="shared" si="10"/>
        <v>7728</v>
      </c>
      <c r="Q595" s="6" t="s">
        <v>397</v>
      </c>
      <c r="R595" s="6" t="s">
        <v>770</v>
      </c>
      <c r="S595" s="38" t="s">
        <v>637</v>
      </c>
      <c r="T595" s="26">
        <v>0</v>
      </c>
    </row>
    <row r="596" spans="2:20" ht="51">
      <c r="B596" s="6">
        <v>580</v>
      </c>
      <c r="C596" s="36" t="s">
        <v>714</v>
      </c>
      <c r="D596" s="37" t="s">
        <v>715</v>
      </c>
      <c r="E596" s="11" t="s">
        <v>688</v>
      </c>
      <c r="F596" s="70" t="s">
        <v>470</v>
      </c>
      <c r="G596" s="70" t="s">
        <v>25</v>
      </c>
      <c r="H596" s="70" t="s">
        <v>2199</v>
      </c>
      <c r="I596" s="70" t="s">
        <v>689</v>
      </c>
      <c r="J596" s="70" t="s">
        <v>470</v>
      </c>
      <c r="K596" s="70" t="s">
        <v>25</v>
      </c>
      <c r="L596" s="70" t="s">
        <v>595</v>
      </c>
      <c r="M596" s="38" t="s">
        <v>648</v>
      </c>
      <c r="N596" s="26">
        <v>48</v>
      </c>
      <c r="O596" s="57">
        <v>45</v>
      </c>
      <c r="P596" s="62">
        <f t="shared" si="10"/>
        <v>2160</v>
      </c>
      <c r="Q596" s="6" t="s">
        <v>397</v>
      </c>
      <c r="R596" s="6" t="s">
        <v>770</v>
      </c>
      <c r="S596" s="38" t="s">
        <v>637</v>
      </c>
      <c r="T596" s="26">
        <v>0</v>
      </c>
    </row>
    <row r="597" spans="2:20" ht="51">
      <c r="B597" s="6">
        <v>581</v>
      </c>
      <c r="C597" s="16" t="s">
        <v>714</v>
      </c>
      <c r="D597" s="37" t="s">
        <v>715</v>
      </c>
      <c r="E597" s="11" t="s">
        <v>690</v>
      </c>
      <c r="F597" s="70" t="s">
        <v>2313</v>
      </c>
      <c r="G597" s="70" t="s">
        <v>26</v>
      </c>
      <c r="H597" s="70" t="s">
        <v>2314</v>
      </c>
      <c r="I597" s="70" t="s">
        <v>691</v>
      </c>
      <c r="J597" s="70" t="s">
        <v>2313</v>
      </c>
      <c r="K597" s="70" t="s">
        <v>26</v>
      </c>
      <c r="L597" s="70" t="s">
        <v>595</v>
      </c>
      <c r="M597" s="12" t="s">
        <v>913</v>
      </c>
      <c r="N597" s="26">
        <v>24</v>
      </c>
      <c r="O597" s="57">
        <v>134</v>
      </c>
      <c r="P597" s="62">
        <f t="shared" si="10"/>
        <v>3216</v>
      </c>
      <c r="Q597" s="6" t="s">
        <v>397</v>
      </c>
      <c r="R597" s="6" t="s">
        <v>770</v>
      </c>
      <c r="S597" s="38" t="s">
        <v>637</v>
      </c>
      <c r="T597" s="26">
        <v>0</v>
      </c>
    </row>
    <row r="598" spans="2:20" ht="114.75">
      <c r="B598" s="6">
        <v>582</v>
      </c>
      <c r="C598" s="36" t="s">
        <v>714</v>
      </c>
      <c r="D598" s="37" t="s">
        <v>715</v>
      </c>
      <c r="E598" s="6" t="s">
        <v>474</v>
      </c>
      <c r="F598" s="70" t="s">
        <v>27</v>
      </c>
      <c r="G598" s="70" t="s">
        <v>27</v>
      </c>
      <c r="H598" s="70" t="s">
        <v>475</v>
      </c>
      <c r="I598" s="70" t="s">
        <v>476</v>
      </c>
      <c r="J598" s="70" t="s">
        <v>27</v>
      </c>
      <c r="K598" s="70" t="s">
        <v>27</v>
      </c>
      <c r="L598" s="70" t="s">
        <v>595</v>
      </c>
      <c r="M598" s="38" t="s">
        <v>648</v>
      </c>
      <c r="N598" s="26">
        <v>2</v>
      </c>
      <c r="O598" s="57">
        <v>2679</v>
      </c>
      <c r="P598" s="62">
        <f t="shared" si="10"/>
        <v>5358</v>
      </c>
      <c r="Q598" s="6" t="s">
        <v>397</v>
      </c>
      <c r="R598" s="6" t="s">
        <v>770</v>
      </c>
      <c r="S598" s="38" t="s">
        <v>637</v>
      </c>
      <c r="T598" s="26">
        <v>0</v>
      </c>
    </row>
    <row r="599" spans="2:20" ht="51">
      <c r="B599" s="6">
        <v>583</v>
      </c>
      <c r="C599" s="36" t="s">
        <v>714</v>
      </c>
      <c r="D599" s="37" t="s">
        <v>715</v>
      </c>
      <c r="E599" s="6" t="s">
        <v>692</v>
      </c>
      <c r="F599" s="70" t="s">
        <v>850</v>
      </c>
      <c r="G599" s="70" t="s">
        <v>478</v>
      </c>
      <c r="H599" s="70" t="s">
        <v>693</v>
      </c>
      <c r="I599" s="70" t="s">
        <v>693</v>
      </c>
      <c r="J599" s="70" t="s">
        <v>850</v>
      </c>
      <c r="K599" s="70" t="s">
        <v>237</v>
      </c>
      <c r="L599" s="70" t="s">
        <v>595</v>
      </c>
      <c r="M599" s="38" t="s">
        <v>648</v>
      </c>
      <c r="N599" s="26">
        <v>288</v>
      </c>
      <c r="O599" s="57">
        <v>45</v>
      </c>
      <c r="P599" s="62">
        <f t="shared" si="10"/>
        <v>12960</v>
      </c>
      <c r="Q599" s="6" t="s">
        <v>397</v>
      </c>
      <c r="R599" s="6" t="s">
        <v>770</v>
      </c>
      <c r="S599" s="38" t="s">
        <v>637</v>
      </c>
      <c r="T599" s="26">
        <v>0</v>
      </c>
    </row>
    <row r="600" spans="2:20" ht="51">
      <c r="B600" s="6">
        <v>584</v>
      </c>
      <c r="C600" s="36" t="s">
        <v>714</v>
      </c>
      <c r="D600" s="37" t="s">
        <v>715</v>
      </c>
      <c r="E600" s="6" t="s">
        <v>480</v>
      </c>
      <c r="F600" s="70" t="s">
        <v>481</v>
      </c>
      <c r="G600" s="70" t="s">
        <v>28</v>
      </c>
      <c r="H600" s="70" t="s">
        <v>482</v>
      </c>
      <c r="I600" s="70" t="s">
        <v>483</v>
      </c>
      <c r="J600" s="70" t="s">
        <v>481</v>
      </c>
      <c r="K600" s="70" t="s">
        <v>28</v>
      </c>
      <c r="L600" s="70" t="s">
        <v>595</v>
      </c>
      <c r="M600" s="38" t="s">
        <v>648</v>
      </c>
      <c r="N600" s="26">
        <v>12</v>
      </c>
      <c r="O600" s="57">
        <v>759</v>
      </c>
      <c r="P600" s="62">
        <f t="shared" si="10"/>
        <v>9108</v>
      </c>
      <c r="Q600" s="6" t="s">
        <v>397</v>
      </c>
      <c r="R600" s="6" t="s">
        <v>770</v>
      </c>
      <c r="S600" s="38" t="s">
        <v>637</v>
      </c>
      <c r="T600" s="26">
        <v>0</v>
      </c>
    </row>
    <row r="601" spans="2:20" ht="51">
      <c r="B601" s="6">
        <v>585</v>
      </c>
      <c r="C601" s="36" t="s">
        <v>714</v>
      </c>
      <c r="D601" s="37" t="s">
        <v>715</v>
      </c>
      <c r="E601" s="11" t="s">
        <v>694</v>
      </c>
      <c r="F601" s="70" t="s">
        <v>2191</v>
      </c>
      <c r="G601" s="70" t="s">
        <v>29</v>
      </c>
      <c r="H601" s="70" t="s">
        <v>851</v>
      </c>
      <c r="I601" s="70" t="s">
        <v>776</v>
      </c>
      <c r="J601" s="70" t="s">
        <v>2191</v>
      </c>
      <c r="K601" s="70" t="s">
        <v>29</v>
      </c>
      <c r="L601" s="70" t="s">
        <v>595</v>
      </c>
      <c r="M601" s="6" t="s">
        <v>484</v>
      </c>
      <c r="N601" s="26">
        <v>144</v>
      </c>
      <c r="O601" s="57">
        <v>27</v>
      </c>
      <c r="P601" s="62">
        <f t="shared" si="10"/>
        <v>3888</v>
      </c>
      <c r="Q601" s="6" t="s">
        <v>397</v>
      </c>
      <c r="R601" s="6" t="s">
        <v>770</v>
      </c>
      <c r="S601" s="38" t="s">
        <v>637</v>
      </c>
      <c r="T601" s="26">
        <v>0</v>
      </c>
    </row>
    <row r="602" spans="2:20" ht="51">
      <c r="B602" s="6">
        <v>586</v>
      </c>
      <c r="C602" s="36" t="s">
        <v>714</v>
      </c>
      <c r="D602" s="37" t="s">
        <v>715</v>
      </c>
      <c r="E602" s="38" t="s">
        <v>695</v>
      </c>
      <c r="F602" s="70" t="s">
        <v>119</v>
      </c>
      <c r="G602" s="70" t="s">
        <v>119</v>
      </c>
      <c r="H602" s="70" t="s">
        <v>852</v>
      </c>
      <c r="I602" s="70" t="s">
        <v>696</v>
      </c>
      <c r="J602" s="70" t="s">
        <v>119</v>
      </c>
      <c r="K602" s="70" t="s">
        <v>119</v>
      </c>
      <c r="L602" s="70" t="s">
        <v>595</v>
      </c>
      <c r="M602" s="38" t="s">
        <v>648</v>
      </c>
      <c r="N602" s="26">
        <v>72</v>
      </c>
      <c r="O602" s="57">
        <v>103</v>
      </c>
      <c r="P602" s="62">
        <f t="shared" si="10"/>
        <v>7416</v>
      </c>
      <c r="Q602" s="6" t="s">
        <v>397</v>
      </c>
      <c r="R602" s="6" t="s">
        <v>770</v>
      </c>
      <c r="S602" s="38" t="s">
        <v>637</v>
      </c>
      <c r="T602" s="26">
        <v>0</v>
      </c>
    </row>
    <row r="603" spans="2:20" ht="51">
      <c r="B603" s="6">
        <v>587</v>
      </c>
      <c r="C603" s="36" t="s">
        <v>714</v>
      </c>
      <c r="D603" s="37" t="s">
        <v>715</v>
      </c>
      <c r="E603" s="40" t="s">
        <v>426</v>
      </c>
      <c r="F603" s="70" t="s">
        <v>427</v>
      </c>
      <c r="G603" s="70" t="s">
        <v>428</v>
      </c>
      <c r="H603" s="70" t="s">
        <v>841</v>
      </c>
      <c r="I603" s="70" t="s">
        <v>429</v>
      </c>
      <c r="J603" s="70" t="s">
        <v>2312</v>
      </c>
      <c r="K603" s="70" t="s">
        <v>231</v>
      </c>
      <c r="L603" s="70" t="s">
        <v>595</v>
      </c>
      <c r="M603" s="12" t="s">
        <v>913</v>
      </c>
      <c r="N603" s="26">
        <v>312</v>
      </c>
      <c r="O603" s="57">
        <v>670</v>
      </c>
      <c r="P603" s="62">
        <f t="shared" si="10"/>
        <v>209040</v>
      </c>
      <c r="Q603" s="6" t="s">
        <v>397</v>
      </c>
      <c r="R603" s="6" t="s">
        <v>770</v>
      </c>
      <c r="S603" s="38">
        <v>311000000</v>
      </c>
      <c r="T603" s="26">
        <v>100</v>
      </c>
    </row>
    <row r="604" spans="2:20" ht="63.75">
      <c r="B604" s="6">
        <v>588</v>
      </c>
      <c r="C604" s="36" t="s">
        <v>714</v>
      </c>
      <c r="D604" s="37" t="s">
        <v>715</v>
      </c>
      <c r="E604" s="38" t="s">
        <v>430</v>
      </c>
      <c r="F604" s="70" t="s">
        <v>842</v>
      </c>
      <c r="G604" s="70" t="s">
        <v>19</v>
      </c>
      <c r="H604" s="70" t="s">
        <v>843</v>
      </c>
      <c r="I604" s="70" t="s">
        <v>432</v>
      </c>
      <c r="J604" s="70" t="s">
        <v>842</v>
      </c>
      <c r="K604" s="70" t="s">
        <v>19</v>
      </c>
      <c r="L604" s="70" t="s">
        <v>595</v>
      </c>
      <c r="M604" s="6" t="s">
        <v>673</v>
      </c>
      <c r="N604" s="26">
        <v>26</v>
      </c>
      <c r="O604" s="57">
        <v>313</v>
      </c>
      <c r="P604" s="62">
        <f t="shared" si="10"/>
        <v>8138</v>
      </c>
      <c r="Q604" s="6" t="s">
        <v>397</v>
      </c>
      <c r="R604" s="6" t="s">
        <v>770</v>
      </c>
      <c r="S604" s="38">
        <v>311000000</v>
      </c>
      <c r="T604" s="26">
        <v>100</v>
      </c>
    </row>
    <row r="605" spans="2:20" ht="51">
      <c r="B605" s="6">
        <v>589</v>
      </c>
      <c r="C605" s="36" t="s">
        <v>714</v>
      </c>
      <c r="D605" s="37" t="s">
        <v>715</v>
      </c>
      <c r="E605" s="11" t="s">
        <v>433</v>
      </c>
      <c r="F605" s="70" t="s">
        <v>844</v>
      </c>
      <c r="G605" s="70" t="s">
        <v>434</v>
      </c>
      <c r="H605" s="70" t="s">
        <v>845</v>
      </c>
      <c r="I605" s="70" t="s">
        <v>435</v>
      </c>
      <c r="J605" s="70" t="s">
        <v>844</v>
      </c>
      <c r="K605" s="70" t="s">
        <v>232</v>
      </c>
      <c r="L605" s="70" t="s">
        <v>595</v>
      </c>
      <c r="M605" s="12" t="s">
        <v>913</v>
      </c>
      <c r="N605" s="26">
        <v>52</v>
      </c>
      <c r="O605" s="57">
        <v>223</v>
      </c>
      <c r="P605" s="62">
        <f t="shared" si="10"/>
        <v>11596</v>
      </c>
      <c r="Q605" s="6" t="s">
        <v>397</v>
      </c>
      <c r="R605" s="6" t="s">
        <v>770</v>
      </c>
      <c r="S605" s="38">
        <v>311000000</v>
      </c>
      <c r="T605" s="26">
        <v>100</v>
      </c>
    </row>
    <row r="606" spans="2:20" ht="51">
      <c r="B606" s="6">
        <v>590</v>
      </c>
      <c r="C606" s="36" t="s">
        <v>714</v>
      </c>
      <c r="D606" s="37" t="s">
        <v>715</v>
      </c>
      <c r="E606" s="12" t="s">
        <v>898</v>
      </c>
      <c r="F606" s="70" t="s">
        <v>771</v>
      </c>
      <c r="G606" s="70" t="s">
        <v>18</v>
      </c>
      <c r="H606" s="70" t="s">
        <v>2188</v>
      </c>
      <c r="I606" s="70" t="s">
        <v>674</v>
      </c>
      <c r="J606" s="70" t="s">
        <v>771</v>
      </c>
      <c r="K606" s="70" t="s">
        <v>18</v>
      </c>
      <c r="L606" s="70" t="s">
        <v>595</v>
      </c>
      <c r="M606" s="6" t="s">
        <v>484</v>
      </c>
      <c r="N606" s="26">
        <v>52</v>
      </c>
      <c r="O606" s="57">
        <v>179</v>
      </c>
      <c r="P606" s="62">
        <f t="shared" si="10"/>
        <v>9308</v>
      </c>
      <c r="Q606" s="6" t="s">
        <v>397</v>
      </c>
      <c r="R606" s="6" t="s">
        <v>770</v>
      </c>
      <c r="S606" s="38">
        <v>311000000</v>
      </c>
      <c r="T606" s="26">
        <v>100</v>
      </c>
    </row>
    <row r="607" spans="2:20" ht="51">
      <c r="B607" s="6">
        <v>591</v>
      </c>
      <c r="C607" s="16" t="s">
        <v>714</v>
      </c>
      <c r="D607" s="37" t="s">
        <v>715</v>
      </c>
      <c r="E607" s="6" t="s">
        <v>675</v>
      </c>
      <c r="F607" s="70" t="s">
        <v>20</v>
      </c>
      <c r="G607" s="70" t="s">
        <v>20</v>
      </c>
      <c r="H607" s="70" t="s">
        <v>2237</v>
      </c>
      <c r="I607" s="70" t="s">
        <v>772</v>
      </c>
      <c r="J607" s="70" t="s">
        <v>20</v>
      </c>
      <c r="K607" s="70" t="s">
        <v>20</v>
      </c>
      <c r="L607" s="70" t="s">
        <v>595</v>
      </c>
      <c r="M607" s="38" t="s">
        <v>648</v>
      </c>
      <c r="N607" s="26">
        <v>52</v>
      </c>
      <c r="O607" s="57">
        <v>107</v>
      </c>
      <c r="P607" s="62">
        <f t="shared" si="10"/>
        <v>5564</v>
      </c>
      <c r="Q607" s="6" t="s">
        <v>397</v>
      </c>
      <c r="R607" s="6" t="s">
        <v>770</v>
      </c>
      <c r="S607" s="38">
        <v>311000000</v>
      </c>
      <c r="T607" s="26">
        <v>100</v>
      </c>
    </row>
    <row r="608" spans="2:20" ht="51">
      <c r="B608" s="6">
        <v>592</v>
      </c>
      <c r="C608" s="36" t="s">
        <v>714</v>
      </c>
      <c r="D608" s="37" t="s">
        <v>715</v>
      </c>
      <c r="E608" s="11" t="s">
        <v>677</v>
      </c>
      <c r="F608" s="70" t="s">
        <v>21</v>
      </c>
      <c r="G608" s="70" t="s">
        <v>21</v>
      </c>
      <c r="H608" s="70" t="s">
        <v>2255</v>
      </c>
      <c r="I608" s="70" t="s">
        <v>678</v>
      </c>
      <c r="J608" s="70" t="s">
        <v>21</v>
      </c>
      <c r="K608" s="70" t="s">
        <v>21</v>
      </c>
      <c r="L608" s="70" t="s">
        <v>595</v>
      </c>
      <c r="M608" s="38" t="s">
        <v>648</v>
      </c>
      <c r="N608" s="26">
        <v>13</v>
      </c>
      <c r="O608" s="57">
        <v>1339</v>
      </c>
      <c r="P608" s="62">
        <f t="shared" si="10"/>
        <v>17407</v>
      </c>
      <c r="Q608" s="6" t="s">
        <v>397</v>
      </c>
      <c r="R608" s="6" t="s">
        <v>770</v>
      </c>
      <c r="S608" s="38">
        <v>311000000</v>
      </c>
      <c r="T608" s="26">
        <v>100</v>
      </c>
    </row>
    <row r="609" spans="2:20" ht="63.75">
      <c r="B609" s="6">
        <v>593</v>
      </c>
      <c r="C609" s="16" t="s">
        <v>714</v>
      </c>
      <c r="D609" s="37" t="s">
        <v>715</v>
      </c>
      <c r="E609" s="11" t="s">
        <v>679</v>
      </c>
      <c r="F609" s="70" t="s">
        <v>2085</v>
      </c>
      <c r="G609" s="70" t="s">
        <v>22</v>
      </c>
      <c r="H609" s="70" t="s">
        <v>847</v>
      </c>
      <c r="I609" s="70" t="s">
        <v>773</v>
      </c>
      <c r="J609" s="70" t="s">
        <v>2085</v>
      </c>
      <c r="K609" s="70" t="s">
        <v>22</v>
      </c>
      <c r="L609" s="70" t="s">
        <v>595</v>
      </c>
      <c r="M609" s="6" t="s">
        <v>484</v>
      </c>
      <c r="N609" s="26">
        <v>312</v>
      </c>
      <c r="O609" s="57">
        <v>13</v>
      </c>
      <c r="P609" s="62">
        <f t="shared" si="10"/>
        <v>4056</v>
      </c>
      <c r="Q609" s="6" t="s">
        <v>397</v>
      </c>
      <c r="R609" s="6" t="s">
        <v>770</v>
      </c>
      <c r="S609" s="38">
        <v>311000000</v>
      </c>
      <c r="T609" s="26">
        <v>100</v>
      </c>
    </row>
    <row r="610" spans="2:20" ht="51">
      <c r="B610" s="6">
        <v>594</v>
      </c>
      <c r="C610" s="36" t="s">
        <v>714</v>
      </c>
      <c r="D610" s="37" t="s">
        <v>715</v>
      </c>
      <c r="E610" s="6" t="s">
        <v>447</v>
      </c>
      <c r="F610" s="70" t="s">
        <v>448</v>
      </c>
      <c r="G610" s="70" t="s">
        <v>448</v>
      </c>
      <c r="H610" s="70" t="s">
        <v>449</v>
      </c>
      <c r="I610" s="70" t="s">
        <v>450</v>
      </c>
      <c r="J610" s="70" t="s">
        <v>233</v>
      </c>
      <c r="K610" s="70" t="s">
        <v>233</v>
      </c>
      <c r="L610" s="70" t="s">
        <v>595</v>
      </c>
      <c r="M610" s="38" t="s">
        <v>648</v>
      </c>
      <c r="N610" s="26">
        <v>78</v>
      </c>
      <c r="O610" s="57">
        <v>446</v>
      </c>
      <c r="P610" s="62">
        <f t="shared" si="10"/>
        <v>34788</v>
      </c>
      <c r="Q610" s="6" t="s">
        <v>397</v>
      </c>
      <c r="R610" s="6" t="s">
        <v>770</v>
      </c>
      <c r="S610" s="38">
        <v>311000000</v>
      </c>
      <c r="T610" s="26">
        <v>100</v>
      </c>
    </row>
    <row r="611" spans="2:20" ht="51">
      <c r="B611" s="6">
        <v>595</v>
      </c>
      <c r="C611" s="36" t="s">
        <v>714</v>
      </c>
      <c r="D611" s="37" t="s">
        <v>715</v>
      </c>
      <c r="E611" s="11" t="s">
        <v>681</v>
      </c>
      <c r="F611" s="70" t="s">
        <v>2285</v>
      </c>
      <c r="G611" s="70" t="s">
        <v>23</v>
      </c>
      <c r="H611" s="70" t="s">
        <v>848</v>
      </c>
      <c r="I611" s="70" t="s">
        <v>682</v>
      </c>
      <c r="J611" s="70" t="s">
        <v>2285</v>
      </c>
      <c r="K611" s="70" t="s">
        <v>23</v>
      </c>
      <c r="L611" s="70" t="s">
        <v>595</v>
      </c>
      <c r="M611" s="38" t="s">
        <v>648</v>
      </c>
      <c r="N611" s="26">
        <v>78</v>
      </c>
      <c r="O611" s="57">
        <v>268</v>
      </c>
      <c r="P611" s="62">
        <f t="shared" si="10"/>
        <v>20904</v>
      </c>
      <c r="Q611" s="6" t="s">
        <v>397</v>
      </c>
      <c r="R611" s="6" t="s">
        <v>770</v>
      </c>
      <c r="S611" s="38">
        <v>311000000</v>
      </c>
      <c r="T611" s="26">
        <v>100</v>
      </c>
    </row>
    <row r="612" spans="2:20" ht="51">
      <c r="B612" s="6">
        <v>596</v>
      </c>
      <c r="C612" s="36" t="s">
        <v>714</v>
      </c>
      <c r="D612" s="37" t="s">
        <v>715</v>
      </c>
      <c r="E612" s="11" t="s">
        <v>683</v>
      </c>
      <c r="F612" s="70" t="s">
        <v>24</v>
      </c>
      <c r="G612" s="70" t="s">
        <v>24</v>
      </c>
      <c r="H612" s="70" t="s">
        <v>2288</v>
      </c>
      <c r="I612" s="70" t="s">
        <v>684</v>
      </c>
      <c r="J612" s="70" t="s">
        <v>24</v>
      </c>
      <c r="K612" s="70" t="s">
        <v>24</v>
      </c>
      <c r="L612" s="70" t="s">
        <v>595</v>
      </c>
      <c r="M612" s="38" t="s">
        <v>648</v>
      </c>
      <c r="N612" s="26">
        <v>13</v>
      </c>
      <c r="O612" s="57">
        <v>223</v>
      </c>
      <c r="P612" s="62">
        <f t="shared" si="10"/>
        <v>2899</v>
      </c>
      <c r="Q612" s="6" t="s">
        <v>397</v>
      </c>
      <c r="R612" s="6" t="s">
        <v>770</v>
      </c>
      <c r="S612" s="38">
        <v>311000000</v>
      </c>
      <c r="T612" s="26">
        <v>100</v>
      </c>
    </row>
    <row r="613" spans="2:20" ht="51">
      <c r="B613" s="6">
        <v>597</v>
      </c>
      <c r="C613" s="36" t="s">
        <v>714</v>
      </c>
      <c r="D613" s="37" t="s">
        <v>715</v>
      </c>
      <c r="E613" s="6" t="s">
        <v>453</v>
      </c>
      <c r="F613" s="70" t="s">
        <v>2287</v>
      </c>
      <c r="G613" s="70" t="s">
        <v>454</v>
      </c>
      <c r="H613" s="70" t="s">
        <v>2290</v>
      </c>
      <c r="I613" s="70" t="s">
        <v>455</v>
      </c>
      <c r="J613" s="70" t="s">
        <v>2287</v>
      </c>
      <c r="K613" s="70" t="s">
        <v>234</v>
      </c>
      <c r="L613" s="70" t="s">
        <v>595</v>
      </c>
      <c r="M613" s="6" t="s">
        <v>484</v>
      </c>
      <c r="N613" s="26">
        <v>78</v>
      </c>
      <c r="O613" s="57">
        <v>223</v>
      </c>
      <c r="P613" s="62">
        <f t="shared" si="10"/>
        <v>17394</v>
      </c>
      <c r="Q613" s="6" t="s">
        <v>397</v>
      </c>
      <c r="R613" s="6" t="s">
        <v>770</v>
      </c>
      <c r="S613" s="38">
        <v>311000000</v>
      </c>
      <c r="T613" s="26">
        <v>100</v>
      </c>
    </row>
    <row r="614" spans="2:20" ht="51">
      <c r="B614" s="6">
        <v>598</v>
      </c>
      <c r="C614" s="36" t="s">
        <v>714</v>
      </c>
      <c r="D614" s="37" t="s">
        <v>715</v>
      </c>
      <c r="E614" s="6" t="s">
        <v>456</v>
      </c>
      <c r="F614" s="70" t="s">
        <v>457</v>
      </c>
      <c r="G614" s="70" t="s">
        <v>458</v>
      </c>
      <c r="H614" s="70" t="s">
        <v>459</v>
      </c>
      <c r="I614" s="70" t="s">
        <v>460</v>
      </c>
      <c r="J614" s="70" t="s">
        <v>457</v>
      </c>
      <c r="K614" s="70" t="s">
        <v>235</v>
      </c>
      <c r="L614" s="70" t="s">
        <v>595</v>
      </c>
      <c r="M614" s="6" t="s">
        <v>484</v>
      </c>
      <c r="N614" s="26">
        <v>78</v>
      </c>
      <c r="O614" s="57">
        <v>179</v>
      </c>
      <c r="P614" s="62">
        <f t="shared" si="10"/>
        <v>13962</v>
      </c>
      <c r="Q614" s="6" t="s">
        <v>397</v>
      </c>
      <c r="R614" s="6" t="s">
        <v>770</v>
      </c>
      <c r="S614" s="38">
        <v>311000000</v>
      </c>
      <c r="T614" s="26">
        <v>100</v>
      </c>
    </row>
    <row r="615" spans="2:20" ht="51">
      <c r="B615" s="6">
        <v>599</v>
      </c>
      <c r="C615" s="36" t="s">
        <v>714</v>
      </c>
      <c r="D615" s="37" t="s">
        <v>715</v>
      </c>
      <c r="E615" s="6" t="s">
        <v>461</v>
      </c>
      <c r="F615" s="70" t="s">
        <v>17</v>
      </c>
      <c r="G615" s="70" t="s">
        <v>17</v>
      </c>
      <c r="H615" s="70" t="s">
        <v>2298</v>
      </c>
      <c r="I615" s="70" t="s">
        <v>2299</v>
      </c>
      <c r="J615" s="70" t="s">
        <v>17</v>
      </c>
      <c r="K615" s="70" t="s">
        <v>17</v>
      </c>
      <c r="L615" s="70" t="s">
        <v>595</v>
      </c>
      <c r="M615" s="38" t="s">
        <v>648</v>
      </c>
      <c r="N615" s="26">
        <v>26</v>
      </c>
      <c r="O615" s="57">
        <v>714</v>
      </c>
      <c r="P615" s="62">
        <f t="shared" si="10"/>
        <v>18564</v>
      </c>
      <c r="Q615" s="6" t="s">
        <v>397</v>
      </c>
      <c r="R615" s="6" t="s">
        <v>770</v>
      </c>
      <c r="S615" s="38">
        <v>311000000</v>
      </c>
      <c r="T615" s="26">
        <v>100</v>
      </c>
    </row>
    <row r="616" spans="2:20" ht="51">
      <c r="B616" s="6">
        <v>600</v>
      </c>
      <c r="C616" s="36" t="s">
        <v>714</v>
      </c>
      <c r="D616" s="37" t="s">
        <v>715</v>
      </c>
      <c r="E616" s="12" t="s">
        <v>463</v>
      </c>
      <c r="F616" s="70" t="s">
        <v>1697</v>
      </c>
      <c r="G616" s="70" t="s">
        <v>464</v>
      </c>
      <c r="H616" s="70" t="s">
        <v>2223</v>
      </c>
      <c r="I616" s="70" t="s">
        <v>2224</v>
      </c>
      <c r="J616" s="70" t="s">
        <v>236</v>
      </c>
      <c r="K616" s="70" t="s">
        <v>236</v>
      </c>
      <c r="L616" s="70" t="s">
        <v>595</v>
      </c>
      <c r="M616" s="38" t="s">
        <v>648</v>
      </c>
      <c r="N616" s="26">
        <v>52</v>
      </c>
      <c r="O616" s="57">
        <v>161</v>
      </c>
      <c r="P616" s="62">
        <f t="shared" si="10"/>
        <v>8372</v>
      </c>
      <c r="Q616" s="6" t="s">
        <v>397</v>
      </c>
      <c r="R616" s="6" t="s">
        <v>770</v>
      </c>
      <c r="S616" s="38">
        <v>311000000</v>
      </c>
      <c r="T616" s="26">
        <v>100</v>
      </c>
    </row>
    <row r="617" spans="2:20" ht="51">
      <c r="B617" s="6">
        <v>601</v>
      </c>
      <c r="C617" s="16" t="s">
        <v>714</v>
      </c>
      <c r="D617" s="37" t="s">
        <v>715</v>
      </c>
      <c r="E617" s="11" t="s">
        <v>687</v>
      </c>
      <c r="F617" s="70" t="s">
        <v>470</v>
      </c>
      <c r="G617" s="70" t="s">
        <v>467</v>
      </c>
      <c r="H617" s="70" t="s">
        <v>849</v>
      </c>
      <c r="I617" s="70" t="s">
        <v>774</v>
      </c>
      <c r="J617" s="70" t="s">
        <v>470</v>
      </c>
      <c r="K617" s="70" t="s">
        <v>467</v>
      </c>
      <c r="L617" s="70" t="s">
        <v>595</v>
      </c>
      <c r="M617" s="38" t="s">
        <v>648</v>
      </c>
      <c r="N617" s="26">
        <v>52</v>
      </c>
      <c r="O617" s="57">
        <v>161</v>
      </c>
      <c r="P617" s="62">
        <f t="shared" si="10"/>
        <v>8372</v>
      </c>
      <c r="Q617" s="6" t="s">
        <v>397</v>
      </c>
      <c r="R617" s="6" t="s">
        <v>770</v>
      </c>
      <c r="S617" s="38">
        <v>311000000</v>
      </c>
      <c r="T617" s="26">
        <v>100</v>
      </c>
    </row>
    <row r="618" spans="2:20" ht="51">
      <c r="B618" s="6">
        <v>602</v>
      </c>
      <c r="C618" s="36" t="s">
        <v>714</v>
      </c>
      <c r="D618" s="37" t="s">
        <v>715</v>
      </c>
      <c r="E618" s="11" t="s">
        <v>688</v>
      </c>
      <c r="F618" s="70" t="s">
        <v>470</v>
      </c>
      <c r="G618" s="70" t="s">
        <v>25</v>
      </c>
      <c r="H618" s="70" t="s">
        <v>2199</v>
      </c>
      <c r="I618" s="70" t="s">
        <v>689</v>
      </c>
      <c r="J618" s="70" t="s">
        <v>470</v>
      </c>
      <c r="K618" s="70" t="s">
        <v>25</v>
      </c>
      <c r="L618" s="70" t="s">
        <v>595</v>
      </c>
      <c r="M618" s="38" t="s">
        <v>648</v>
      </c>
      <c r="N618" s="26">
        <v>52</v>
      </c>
      <c r="O618" s="57">
        <v>45</v>
      </c>
      <c r="P618" s="62">
        <f t="shared" si="10"/>
        <v>2340</v>
      </c>
      <c r="Q618" s="6" t="s">
        <v>397</v>
      </c>
      <c r="R618" s="6" t="s">
        <v>770</v>
      </c>
      <c r="S618" s="38">
        <v>311000000</v>
      </c>
      <c r="T618" s="26">
        <v>100</v>
      </c>
    </row>
    <row r="619" spans="2:20" ht="51">
      <c r="B619" s="6">
        <v>603</v>
      </c>
      <c r="C619" s="16" t="s">
        <v>714</v>
      </c>
      <c r="D619" s="37" t="s">
        <v>715</v>
      </c>
      <c r="E619" s="11" t="s">
        <v>690</v>
      </c>
      <c r="F619" s="70" t="s">
        <v>2313</v>
      </c>
      <c r="G619" s="70" t="s">
        <v>26</v>
      </c>
      <c r="H619" s="70" t="s">
        <v>2314</v>
      </c>
      <c r="I619" s="70" t="s">
        <v>691</v>
      </c>
      <c r="J619" s="70" t="s">
        <v>2313</v>
      </c>
      <c r="K619" s="70" t="s">
        <v>26</v>
      </c>
      <c r="L619" s="70" t="s">
        <v>595</v>
      </c>
      <c r="M619" s="12" t="s">
        <v>913</v>
      </c>
      <c r="N619" s="26">
        <v>26</v>
      </c>
      <c r="O619" s="57">
        <v>134</v>
      </c>
      <c r="P619" s="62">
        <f t="shared" si="10"/>
        <v>3484</v>
      </c>
      <c r="Q619" s="6" t="s">
        <v>397</v>
      </c>
      <c r="R619" s="6" t="s">
        <v>770</v>
      </c>
      <c r="S619" s="38">
        <v>311000000</v>
      </c>
      <c r="T619" s="26">
        <v>100</v>
      </c>
    </row>
    <row r="620" spans="2:20" ht="114.75">
      <c r="B620" s="6">
        <v>604</v>
      </c>
      <c r="C620" s="36" t="s">
        <v>714</v>
      </c>
      <c r="D620" s="37" t="s">
        <v>715</v>
      </c>
      <c r="E620" s="6" t="s">
        <v>474</v>
      </c>
      <c r="F620" s="70" t="s">
        <v>27</v>
      </c>
      <c r="G620" s="70" t="s">
        <v>27</v>
      </c>
      <c r="H620" s="70" t="s">
        <v>475</v>
      </c>
      <c r="I620" s="70" t="s">
        <v>476</v>
      </c>
      <c r="J620" s="70" t="s">
        <v>27</v>
      </c>
      <c r="K620" s="70" t="s">
        <v>27</v>
      </c>
      <c r="L620" s="70" t="s">
        <v>595</v>
      </c>
      <c r="M620" s="38" t="s">
        <v>648</v>
      </c>
      <c r="N620" s="26">
        <v>3</v>
      </c>
      <c r="O620" s="57">
        <v>2679</v>
      </c>
      <c r="P620" s="62">
        <f t="shared" si="10"/>
        <v>8037</v>
      </c>
      <c r="Q620" s="6" t="s">
        <v>397</v>
      </c>
      <c r="R620" s="6" t="s">
        <v>770</v>
      </c>
      <c r="S620" s="38">
        <v>311000000</v>
      </c>
      <c r="T620" s="26">
        <v>100</v>
      </c>
    </row>
    <row r="621" spans="2:20" ht="51">
      <c r="B621" s="6">
        <v>605</v>
      </c>
      <c r="C621" s="36" t="s">
        <v>714</v>
      </c>
      <c r="D621" s="37" t="s">
        <v>715</v>
      </c>
      <c r="E621" s="11" t="s">
        <v>692</v>
      </c>
      <c r="F621" s="70" t="s">
        <v>850</v>
      </c>
      <c r="G621" s="70" t="s">
        <v>850</v>
      </c>
      <c r="H621" s="70" t="s">
        <v>775</v>
      </c>
      <c r="I621" s="70" t="s">
        <v>775</v>
      </c>
      <c r="J621" s="70" t="s">
        <v>850</v>
      </c>
      <c r="K621" s="70" t="s">
        <v>237</v>
      </c>
      <c r="L621" s="70" t="s">
        <v>595</v>
      </c>
      <c r="M621" s="38" t="s">
        <v>648</v>
      </c>
      <c r="N621" s="26">
        <v>312</v>
      </c>
      <c r="O621" s="57">
        <v>45</v>
      </c>
      <c r="P621" s="62">
        <f t="shared" si="10"/>
        <v>14040</v>
      </c>
      <c r="Q621" s="6" t="s">
        <v>397</v>
      </c>
      <c r="R621" s="6" t="s">
        <v>770</v>
      </c>
      <c r="S621" s="38">
        <v>311000000</v>
      </c>
      <c r="T621" s="26">
        <v>100</v>
      </c>
    </row>
    <row r="622" spans="2:20" ht="51">
      <c r="B622" s="6">
        <v>606</v>
      </c>
      <c r="C622" s="36" t="s">
        <v>714</v>
      </c>
      <c r="D622" s="37" t="s">
        <v>715</v>
      </c>
      <c r="E622" s="6" t="s">
        <v>480</v>
      </c>
      <c r="F622" s="70" t="s">
        <v>481</v>
      </c>
      <c r="G622" s="70" t="s">
        <v>28</v>
      </c>
      <c r="H622" s="70" t="s">
        <v>482</v>
      </c>
      <c r="I622" s="70" t="s">
        <v>483</v>
      </c>
      <c r="J622" s="70" t="s">
        <v>481</v>
      </c>
      <c r="K622" s="70" t="s">
        <v>28</v>
      </c>
      <c r="L622" s="70" t="s">
        <v>595</v>
      </c>
      <c r="M622" s="38" t="s">
        <v>648</v>
      </c>
      <c r="N622" s="26">
        <v>13</v>
      </c>
      <c r="O622" s="57">
        <v>759</v>
      </c>
      <c r="P622" s="62">
        <f t="shared" si="10"/>
        <v>9867</v>
      </c>
      <c r="Q622" s="6" t="s">
        <v>397</v>
      </c>
      <c r="R622" s="6" t="s">
        <v>770</v>
      </c>
      <c r="S622" s="38">
        <v>311000000</v>
      </c>
      <c r="T622" s="26">
        <v>100</v>
      </c>
    </row>
    <row r="623" spans="2:20" ht="51">
      <c r="B623" s="6">
        <v>607</v>
      </c>
      <c r="C623" s="36" t="s">
        <v>714</v>
      </c>
      <c r="D623" s="37" t="s">
        <v>715</v>
      </c>
      <c r="E623" s="11" t="s">
        <v>694</v>
      </c>
      <c r="F623" s="70" t="s">
        <v>2191</v>
      </c>
      <c r="G623" s="70" t="s">
        <v>29</v>
      </c>
      <c r="H623" s="70" t="s">
        <v>851</v>
      </c>
      <c r="I623" s="70" t="s">
        <v>776</v>
      </c>
      <c r="J623" s="70" t="s">
        <v>2191</v>
      </c>
      <c r="K623" s="70" t="s">
        <v>29</v>
      </c>
      <c r="L623" s="70" t="s">
        <v>595</v>
      </c>
      <c r="M623" s="6" t="s">
        <v>484</v>
      </c>
      <c r="N623" s="26">
        <v>156</v>
      </c>
      <c r="O623" s="57">
        <v>27</v>
      </c>
      <c r="P623" s="62">
        <f t="shared" si="10"/>
        <v>4212</v>
      </c>
      <c r="Q623" s="6" t="s">
        <v>397</v>
      </c>
      <c r="R623" s="6" t="s">
        <v>770</v>
      </c>
      <c r="S623" s="38">
        <v>311000000</v>
      </c>
      <c r="T623" s="26">
        <v>100</v>
      </c>
    </row>
    <row r="624" spans="2:20" ht="51">
      <c r="B624" s="6">
        <v>608</v>
      </c>
      <c r="C624" s="36" t="s">
        <v>714</v>
      </c>
      <c r="D624" s="37" t="s">
        <v>715</v>
      </c>
      <c r="E624" s="38" t="s">
        <v>695</v>
      </c>
      <c r="F624" s="70" t="s">
        <v>119</v>
      </c>
      <c r="G624" s="70" t="s">
        <v>119</v>
      </c>
      <c r="H624" s="70" t="s">
        <v>852</v>
      </c>
      <c r="I624" s="70" t="s">
        <v>696</v>
      </c>
      <c r="J624" s="70" t="s">
        <v>119</v>
      </c>
      <c r="K624" s="70" t="s">
        <v>119</v>
      </c>
      <c r="L624" s="70" t="s">
        <v>595</v>
      </c>
      <c r="M624" s="38" t="s">
        <v>648</v>
      </c>
      <c r="N624" s="26">
        <v>78</v>
      </c>
      <c r="O624" s="57">
        <v>103</v>
      </c>
      <c r="P624" s="62">
        <f t="shared" si="10"/>
        <v>8034</v>
      </c>
      <c r="Q624" s="6" t="s">
        <v>519</v>
      </c>
      <c r="R624" s="6" t="s">
        <v>770</v>
      </c>
      <c r="S624" s="38">
        <v>311000000</v>
      </c>
      <c r="T624" s="26">
        <v>100</v>
      </c>
    </row>
    <row r="625" spans="2:20" ht="51">
      <c r="B625" s="6">
        <v>609</v>
      </c>
      <c r="C625" s="36" t="s">
        <v>714</v>
      </c>
      <c r="D625" s="37" t="s">
        <v>715</v>
      </c>
      <c r="E625" s="40" t="s">
        <v>426</v>
      </c>
      <c r="F625" s="70" t="s">
        <v>427</v>
      </c>
      <c r="G625" s="70" t="s">
        <v>428</v>
      </c>
      <c r="H625" s="70" t="s">
        <v>841</v>
      </c>
      <c r="I625" s="70" t="s">
        <v>429</v>
      </c>
      <c r="J625" s="70" t="s">
        <v>2312</v>
      </c>
      <c r="K625" s="70" t="s">
        <v>231</v>
      </c>
      <c r="L625" s="70" t="s">
        <v>595</v>
      </c>
      <c r="M625" s="12" t="s">
        <v>913</v>
      </c>
      <c r="N625" s="26">
        <v>240</v>
      </c>
      <c r="O625" s="57">
        <v>670</v>
      </c>
      <c r="P625" s="62">
        <f t="shared" si="10"/>
        <v>160800</v>
      </c>
      <c r="Q625" s="6" t="s">
        <v>519</v>
      </c>
      <c r="R625" s="6" t="s">
        <v>770</v>
      </c>
      <c r="S625" s="38" t="s">
        <v>2032</v>
      </c>
      <c r="T625" s="6">
        <v>0</v>
      </c>
    </row>
    <row r="626" spans="2:20" ht="63.75">
      <c r="B626" s="6">
        <v>610</v>
      </c>
      <c r="C626" s="36" t="s">
        <v>714</v>
      </c>
      <c r="D626" s="37" t="s">
        <v>715</v>
      </c>
      <c r="E626" s="38" t="s">
        <v>430</v>
      </c>
      <c r="F626" s="70" t="s">
        <v>842</v>
      </c>
      <c r="G626" s="70" t="s">
        <v>19</v>
      </c>
      <c r="H626" s="70" t="s">
        <v>843</v>
      </c>
      <c r="I626" s="70" t="s">
        <v>432</v>
      </c>
      <c r="J626" s="70" t="s">
        <v>842</v>
      </c>
      <c r="K626" s="70" t="s">
        <v>19</v>
      </c>
      <c r="L626" s="70" t="s">
        <v>595</v>
      </c>
      <c r="M626" s="6" t="s">
        <v>673</v>
      </c>
      <c r="N626" s="26">
        <v>20</v>
      </c>
      <c r="O626" s="57">
        <v>313</v>
      </c>
      <c r="P626" s="62">
        <f t="shared" si="10"/>
        <v>6260</v>
      </c>
      <c r="Q626" s="6" t="s">
        <v>519</v>
      </c>
      <c r="R626" s="6" t="s">
        <v>770</v>
      </c>
      <c r="S626" s="38" t="s">
        <v>2032</v>
      </c>
      <c r="T626" s="6">
        <v>30</v>
      </c>
    </row>
    <row r="627" spans="2:20" ht="51">
      <c r="B627" s="6">
        <v>611</v>
      </c>
      <c r="C627" s="36" t="s">
        <v>714</v>
      </c>
      <c r="D627" s="37" t="s">
        <v>715</v>
      </c>
      <c r="E627" s="11" t="s">
        <v>433</v>
      </c>
      <c r="F627" s="70" t="s">
        <v>844</v>
      </c>
      <c r="G627" s="70" t="s">
        <v>434</v>
      </c>
      <c r="H627" s="70" t="s">
        <v>845</v>
      </c>
      <c r="I627" s="70" t="s">
        <v>435</v>
      </c>
      <c r="J627" s="70" t="s">
        <v>844</v>
      </c>
      <c r="K627" s="70" t="s">
        <v>232</v>
      </c>
      <c r="L627" s="70" t="s">
        <v>595</v>
      </c>
      <c r="M627" s="12" t="s">
        <v>913</v>
      </c>
      <c r="N627" s="26">
        <v>40</v>
      </c>
      <c r="O627" s="57">
        <v>223</v>
      </c>
      <c r="P627" s="62">
        <f t="shared" si="10"/>
        <v>8920</v>
      </c>
      <c r="Q627" s="6" t="s">
        <v>397</v>
      </c>
      <c r="R627" s="6" t="s">
        <v>770</v>
      </c>
      <c r="S627" s="38" t="s">
        <v>2032</v>
      </c>
      <c r="T627" s="6">
        <v>0</v>
      </c>
    </row>
    <row r="628" spans="2:20" ht="51">
      <c r="B628" s="6">
        <v>612</v>
      </c>
      <c r="C628" s="36" t="s">
        <v>714</v>
      </c>
      <c r="D628" s="37" t="s">
        <v>715</v>
      </c>
      <c r="E628" s="12" t="s">
        <v>898</v>
      </c>
      <c r="F628" s="70" t="s">
        <v>771</v>
      </c>
      <c r="G628" s="70" t="s">
        <v>18</v>
      </c>
      <c r="H628" s="70" t="s">
        <v>2188</v>
      </c>
      <c r="I628" s="70" t="s">
        <v>674</v>
      </c>
      <c r="J628" s="70" t="s">
        <v>771</v>
      </c>
      <c r="K628" s="70" t="s">
        <v>18</v>
      </c>
      <c r="L628" s="70" t="s">
        <v>595</v>
      </c>
      <c r="M628" s="6" t="s">
        <v>484</v>
      </c>
      <c r="N628" s="26">
        <v>40</v>
      </c>
      <c r="O628" s="57">
        <v>179</v>
      </c>
      <c r="P628" s="62">
        <f t="shared" si="10"/>
        <v>7160</v>
      </c>
      <c r="Q628" s="6" t="s">
        <v>397</v>
      </c>
      <c r="R628" s="6" t="s">
        <v>770</v>
      </c>
      <c r="S628" s="38" t="s">
        <v>2032</v>
      </c>
      <c r="T628" s="6">
        <v>0</v>
      </c>
    </row>
    <row r="629" spans="2:20" ht="51">
      <c r="B629" s="6">
        <v>613</v>
      </c>
      <c r="C629" s="16" t="s">
        <v>714</v>
      </c>
      <c r="D629" s="37" t="s">
        <v>715</v>
      </c>
      <c r="E629" s="6" t="s">
        <v>675</v>
      </c>
      <c r="F629" s="70" t="s">
        <v>20</v>
      </c>
      <c r="G629" s="70" t="s">
        <v>20</v>
      </c>
      <c r="H629" s="70" t="s">
        <v>2237</v>
      </c>
      <c r="I629" s="70" t="s">
        <v>772</v>
      </c>
      <c r="J629" s="70" t="s">
        <v>20</v>
      </c>
      <c r="K629" s="70" t="s">
        <v>20</v>
      </c>
      <c r="L629" s="70" t="s">
        <v>595</v>
      </c>
      <c r="M629" s="38" t="s">
        <v>648</v>
      </c>
      <c r="N629" s="26">
        <v>40</v>
      </c>
      <c r="O629" s="57">
        <v>107</v>
      </c>
      <c r="P629" s="62">
        <f t="shared" si="10"/>
        <v>4280</v>
      </c>
      <c r="Q629" s="6" t="s">
        <v>397</v>
      </c>
      <c r="R629" s="6" t="s">
        <v>770</v>
      </c>
      <c r="S629" s="38" t="s">
        <v>2032</v>
      </c>
      <c r="T629" s="6">
        <v>0</v>
      </c>
    </row>
    <row r="630" spans="2:20" ht="51">
      <c r="B630" s="6">
        <v>614</v>
      </c>
      <c r="C630" s="36" t="s">
        <v>714</v>
      </c>
      <c r="D630" s="37" t="s">
        <v>715</v>
      </c>
      <c r="E630" s="11" t="s">
        <v>677</v>
      </c>
      <c r="F630" s="70" t="s">
        <v>21</v>
      </c>
      <c r="G630" s="70" t="s">
        <v>21</v>
      </c>
      <c r="H630" s="70" t="s">
        <v>2255</v>
      </c>
      <c r="I630" s="70" t="s">
        <v>678</v>
      </c>
      <c r="J630" s="70" t="s">
        <v>21</v>
      </c>
      <c r="K630" s="70" t="s">
        <v>21</v>
      </c>
      <c r="L630" s="70" t="s">
        <v>595</v>
      </c>
      <c r="M630" s="38" t="s">
        <v>648</v>
      </c>
      <c r="N630" s="26">
        <v>10</v>
      </c>
      <c r="O630" s="57">
        <v>1339</v>
      </c>
      <c r="P630" s="62">
        <f t="shared" si="10"/>
        <v>13390</v>
      </c>
      <c r="Q630" s="6" t="s">
        <v>397</v>
      </c>
      <c r="R630" s="6" t="s">
        <v>770</v>
      </c>
      <c r="S630" s="38" t="s">
        <v>2032</v>
      </c>
      <c r="T630" s="6">
        <v>100</v>
      </c>
    </row>
    <row r="631" spans="2:20" ht="63.75">
      <c r="B631" s="6">
        <v>615</v>
      </c>
      <c r="C631" s="16" t="s">
        <v>714</v>
      </c>
      <c r="D631" s="37" t="s">
        <v>715</v>
      </c>
      <c r="E631" s="11" t="s">
        <v>679</v>
      </c>
      <c r="F631" s="70" t="s">
        <v>2085</v>
      </c>
      <c r="G631" s="70" t="s">
        <v>22</v>
      </c>
      <c r="H631" s="70" t="s">
        <v>847</v>
      </c>
      <c r="I631" s="70" t="s">
        <v>773</v>
      </c>
      <c r="J631" s="70" t="s">
        <v>2085</v>
      </c>
      <c r="K631" s="70" t="s">
        <v>22</v>
      </c>
      <c r="L631" s="70" t="s">
        <v>595</v>
      </c>
      <c r="M631" s="6" t="s">
        <v>484</v>
      </c>
      <c r="N631" s="26">
        <v>240</v>
      </c>
      <c r="O631" s="57">
        <v>13</v>
      </c>
      <c r="P631" s="62">
        <f t="shared" si="10"/>
        <v>3120</v>
      </c>
      <c r="Q631" s="6" t="s">
        <v>397</v>
      </c>
      <c r="R631" s="6" t="s">
        <v>770</v>
      </c>
      <c r="S631" s="38" t="s">
        <v>2032</v>
      </c>
      <c r="T631" s="6">
        <v>30</v>
      </c>
    </row>
    <row r="632" spans="2:20" ht="51">
      <c r="B632" s="6">
        <v>616</v>
      </c>
      <c r="C632" s="36" t="s">
        <v>714</v>
      </c>
      <c r="D632" s="37" t="s">
        <v>715</v>
      </c>
      <c r="E632" s="6" t="s">
        <v>447</v>
      </c>
      <c r="F632" s="70" t="s">
        <v>448</v>
      </c>
      <c r="G632" s="70" t="s">
        <v>448</v>
      </c>
      <c r="H632" s="70" t="s">
        <v>449</v>
      </c>
      <c r="I632" s="70" t="s">
        <v>450</v>
      </c>
      <c r="J632" s="70" t="s">
        <v>233</v>
      </c>
      <c r="K632" s="70" t="s">
        <v>233</v>
      </c>
      <c r="L632" s="70" t="s">
        <v>595</v>
      </c>
      <c r="M632" s="38" t="s">
        <v>648</v>
      </c>
      <c r="N632" s="26">
        <v>60</v>
      </c>
      <c r="O632" s="57">
        <v>446</v>
      </c>
      <c r="P632" s="62">
        <f t="shared" si="10"/>
        <v>26760</v>
      </c>
      <c r="Q632" s="6" t="s">
        <v>397</v>
      </c>
      <c r="R632" s="6" t="s">
        <v>770</v>
      </c>
      <c r="S632" s="38" t="s">
        <v>2032</v>
      </c>
      <c r="T632" s="6">
        <v>30</v>
      </c>
    </row>
    <row r="633" spans="2:20" ht="51">
      <c r="B633" s="6">
        <v>617</v>
      </c>
      <c r="C633" s="36" t="s">
        <v>714</v>
      </c>
      <c r="D633" s="37" t="s">
        <v>715</v>
      </c>
      <c r="E633" s="11" t="s">
        <v>681</v>
      </c>
      <c r="F633" s="70" t="s">
        <v>2285</v>
      </c>
      <c r="G633" s="70" t="s">
        <v>23</v>
      </c>
      <c r="H633" s="70" t="s">
        <v>848</v>
      </c>
      <c r="I633" s="70" t="s">
        <v>682</v>
      </c>
      <c r="J633" s="70" t="s">
        <v>2285</v>
      </c>
      <c r="K633" s="70" t="s">
        <v>23</v>
      </c>
      <c r="L633" s="70" t="s">
        <v>595</v>
      </c>
      <c r="M633" s="38" t="s">
        <v>648</v>
      </c>
      <c r="N633" s="26">
        <v>60</v>
      </c>
      <c r="O633" s="57">
        <v>268</v>
      </c>
      <c r="P633" s="62">
        <f t="shared" si="10"/>
        <v>16080</v>
      </c>
      <c r="Q633" s="6" t="s">
        <v>397</v>
      </c>
      <c r="R633" s="6" t="s">
        <v>770</v>
      </c>
      <c r="S633" s="38" t="s">
        <v>2032</v>
      </c>
      <c r="T633" s="6">
        <v>30</v>
      </c>
    </row>
    <row r="634" spans="2:20" ht="51">
      <c r="B634" s="6">
        <v>618</v>
      </c>
      <c r="C634" s="36" t="s">
        <v>714</v>
      </c>
      <c r="D634" s="37" t="s">
        <v>715</v>
      </c>
      <c r="E634" s="11" t="s">
        <v>683</v>
      </c>
      <c r="F634" s="70" t="s">
        <v>24</v>
      </c>
      <c r="G634" s="70" t="s">
        <v>24</v>
      </c>
      <c r="H634" s="70" t="s">
        <v>2288</v>
      </c>
      <c r="I634" s="70" t="s">
        <v>684</v>
      </c>
      <c r="J634" s="70" t="s">
        <v>24</v>
      </c>
      <c r="K634" s="70" t="s">
        <v>24</v>
      </c>
      <c r="L634" s="70" t="s">
        <v>595</v>
      </c>
      <c r="M634" s="38" t="s">
        <v>648</v>
      </c>
      <c r="N634" s="26">
        <v>10</v>
      </c>
      <c r="O634" s="57">
        <v>223</v>
      </c>
      <c r="P634" s="62">
        <f t="shared" si="10"/>
        <v>2230</v>
      </c>
      <c r="Q634" s="6" t="s">
        <v>397</v>
      </c>
      <c r="R634" s="6" t="s">
        <v>770</v>
      </c>
      <c r="S634" s="38" t="s">
        <v>2032</v>
      </c>
      <c r="T634" s="6">
        <v>100</v>
      </c>
    </row>
    <row r="635" spans="2:20" ht="51">
      <c r="B635" s="6">
        <v>619</v>
      </c>
      <c r="C635" s="36" t="s">
        <v>714</v>
      </c>
      <c r="D635" s="37" t="s">
        <v>715</v>
      </c>
      <c r="E635" s="6" t="s">
        <v>453</v>
      </c>
      <c r="F635" s="70" t="s">
        <v>2287</v>
      </c>
      <c r="G635" s="70" t="s">
        <v>454</v>
      </c>
      <c r="H635" s="70" t="s">
        <v>2290</v>
      </c>
      <c r="I635" s="70" t="s">
        <v>455</v>
      </c>
      <c r="J635" s="70" t="s">
        <v>2287</v>
      </c>
      <c r="K635" s="70" t="s">
        <v>234</v>
      </c>
      <c r="L635" s="70" t="s">
        <v>595</v>
      </c>
      <c r="M635" s="6" t="s">
        <v>484</v>
      </c>
      <c r="N635" s="26">
        <v>60</v>
      </c>
      <c r="O635" s="57">
        <v>223</v>
      </c>
      <c r="P635" s="62">
        <f t="shared" si="10"/>
        <v>13380</v>
      </c>
      <c r="Q635" s="6" t="s">
        <v>397</v>
      </c>
      <c r="R635" s="6" t="s">
        <v>770</v>
      </c>
      <c r="S635" s="38" t="s">
        <v>2032</v>
      </c>
      <c r="T635" s="6">
        <v>100</v>
      </c>
    </row>
    <row r="636" spans="2:20" ht="51">
      <c r="B636" s="6">
        <v>620</v>
      </c>
      <c r="C636" s="36" t="s">
        <v>714</v>
      </c>
      <c r="D636" s="37" t="s">
        <v>715</v>
      </c>
      <c r="E636" s="6" t="s">
        <v>456</v>
      </c>
      <c r="F636" s="70" t="s">
        <v>457</v>
      </c>
      <c r="G636" s="70" t="s">
        <v>458</v>
      </c>
      <c r="H636" s="70" t="s">
        <v>459</v>
      </c>
      <c r="I636" s="70" t="s">
        <v>460</v>
      </c>
      <c r="J636" s="70" t="s">
        <v>457</v>
      </c>
      <c r="K636" s="70" t="s">
        <v>235</v>
      </c>
      <c r="L636" s="70" t="s">
        <v>595</v>
      </c>
      <c r="M636" s="6" t="s">
        <v>484</v>
      </c>
      <c r="N636" s="26">
        <v>60</v>
      </c>
      <c r="O636" s="57">
        <v>179</v>
      </c>
      <c r="P636" s="62">
        <f t="shared" si="10"/>
        <v>10740</v>
      </c>
      <c r="Q636" s="6" t="s">
        <v>397</v>
      </c>
      <c r="R636" s="6" t="s">
        <v>770</v>
      </c>
      <c r="S636" s="38" t="s">
        <v>2032</v>
      </c>
      <c r="T636" s="6">
        <v>0</v>
      </c>
    </row>
    <row r="637" spans="2:20" ht="51">
      <c r="B637" s="6">
        <v>621</v>
      </c>
      <c r="C637" s="36" t="s">
        <v>714</v>
      </c>
      <c r="D637" s="37" t="s">
        <v>715</v>
      </c>
      <c r="E637" s="6" t="s">
        <v>461</v>
      </c>
      <c r="F637" s="70" t="s">
        <v>17</v>
      </c>
      <c r="G637" s="70" t="s">
        <v>17</v>
      </c>
      <c r="H637" s="70" t="s">
        <v>2298</v>
      </c>
      <c r="I637" s="70" t="s">
        <v>2299</v>
      </c>
      <c r="J637" s="70" t="s">
        <v>17</v>
      </c>
      <c r="K637" s="70" t="s">
        <v>17</v>
      </c>
      <c r="L637" s="70" t="s">
        <v>595</v>
      </c>
      <c r="M637" s="38" t="s">
        <v>648</v>
      </c>
      <c r="N637" s="26">
        <v>20</v>
      </c>
      <c r="O637" s="57">
        <v>714</v>
      </c>
      <c r="P637" s="62">
        <f t="shared" si="10"/>
        <v>14280</v>
      </c>
      <c r="Q637" s="6" t="s">
        <v>397</v>
      </c>
      <c r="R637" s="6" t="s">
        <v>770</v>
      </c>
      <c r="S637" s="38" t="s">
        <v>2032</v>
      </c>
      <c r="T637" s="6">
        <v>0</v>
      </c>
    </row>
    <row r="638" spans="2:20" ht="51">
      <c r="B638" s="6">
        <v>622</v>
      </c>
      <c r="C638" s="36" t="s">
        <v>714</v>
      </c>
      <c r="D638" s="37" t="s">
        <v>715</v>
      </c>
      <c r="E638" s="12" t="s">
        <v>463</v>
      </c>
      <c r="F638" s="70" t="s">
        <v>1697</v>
      </c>
      <c r="G638" s="70" t="s">
        <v>464</v>
      </c>
      <c r="H638" s="70" t="s">
        <v>2223</v>
      </c>
      <c r="I638" s="70" t="s">
        <v>2224</v>
      </c>
      <c r="J638" s="70" t="s">
        <v>236</v>
      </c>
      <c r="K638" s="70" t="s">
        <v>236</v>
      </c>
      <c r="L638" s="70" t="s">
        <v>595</v>
      </c>
      <c r="M638" s="38" t="s">
        <v>648</v>
      </c>
      <c r="N638" s="26">
        <v>40</v>
      </c>
      <c r="O638" s="57">
        <v>161</v>
      </c>
      <c r="P638" s="62">
        <f t="shared" si="10"/>
        <v>6440</v>
      </c>
      <c r="Q638" s="6" t="s">
        <v>397</v>
      </c>
      <c r="R638" s="6" t="s">
        <v>770</v>
      </c>
      <c r="S638" s="38" t="s">
        <v>2032</v>
      </c>
      <c r="T638" s="6">
        <v>100</v>
      </c>
    </row>
    <row r="639" spans="2:20" ht="51">
      <c r="B639" s="6">
        <v>623</v>
      </c>
      <c r="C639" s="16" t="s">
        <v>714</v>
      </c>
      <c r="D639" s="37" t="s">
        <v>715</v>
      </c>
      <c r="E639" s="11" t="s">
        <v>687</v>
      </c>
      <c r="F639" s="70" t="s">
        <v>470</v>
      </c>
      <c r="G639" s="70" t="s">
        <v>467</v>
      </c>
      <c r="H639" s="70" t="s">
        <v>849</v>
      </c>
      <c r="I639" s="70" t="s">
        <v>774</v>
      </c>
      <c r="J639" s="70" t="s">
        <v>470</v>
      </c>
      <c r="K639" s="70" t="s">
        <v>467</v>
      </c>
      <c r="L639" s="70" t="s">
        <v>595</v>
      </c>
      <c r="M639" s="38" t="s">
        <v>648</v>
      </c>
      <c r="N639" s="26">
        <v>40</v>
      </c>
      <c r="O639" s="57">
        <v>161</v>
      </c>
      <c r="P639" s="62">
        <f t="shared" si="10"/>
        <v>6440</v>
      </c>
      <c r="Q639" s="6" t="s">
        <v>397</v>
      </c>
      <c r="R639" s="6" t="s">
        <v>770</v>
      </c>
      <c r="S639" s="38" t="s">
        <v>2032</v>
      </c>
      <c r="T639" s="6">
        <v>100</v>
      </c>
    </row>
    <row r="640" spans="2:20" ht="51">
      <c r="B640" s="6">
        <v>624</v>
      </c>
      <c r="C640" s="36" t="s">
        <v>714</v>
      </c>
      <c r="D640" s="37" t="s">
        <v>715</v>
      </c>
      <c r="E640" s="11" t="s">
        <v>688</v>
      </c>
      <c r="F640" s="70" t="s">
        <v>470</v>
      </c>
      <c r="G640" s="70" t="s">
        <v>25</v>
      </c>
      <c r="H640" s="70" t="s">
        <v>2199</v>
      </c>
      <c r="I640" s="70" t="s">
        <v>689</v>
      </c>
      <c r="J640" s="70" t="s">
        <v>470</v>
      </c>
      <c r="K640" s="70" t="s">
        <v>25</v>
      </c>
      <c r="L640" s="70" t="s">
        <v>595</v>
      </c>
      <c r="M640" s="38" t="s">
        <v>648</v>
      </c>
      <c r="N640" s="26">
        <v>40</v>
      </c>
      <c r="O640" s="57">
        <v>45</v>
      </c>
      <c r="P640" s="62">
        <f t="shared" si="10"/>
        <v>1800</v>
      </c>
      <c r="Q640" s="6" t="s">
        <v>397</v>
      </c>
      <c r="R640" s="6" t="s">
        <v>770</v>
      </c>
      <c r="S640" s="38" t="s">
        <v>2032</v>
      </c>
      <c r="T640" s="6">
        <v>100</v>
      </c>
    </row>
    <row r="641" spans="2:20" ht="51">
      <c r="B641" s="6">
        <v>625</v>
      </c>
      <c r="C641" s="16" t="s">
        <v>714</v>
      </c>
      <c r="D641" s="37" t="s">
        <v>715</v>
      </c>
      <c r="E641" s="11" t="s">
        <v>690</v>
      </c>
      <c r="F641" s="70" t="s">
        <v>2313</v>
      </c>
      <c r="G641" s="70" t="s">
        <v>26</v>
      </c>
      <c r="H641" s="70" t="s">
        <v>2314</v>
      </c>
      <c r="I641" s="70" t="s">
        <v>691</v>
      </c>
      <c r="J641" s="70" t="s">
        <v>2313</v>
      </c>
      <c r="K641" s="70" t="s">
        <v>26</v>
      </c>
      <c r="L641" s="70" t="s">
        <v>595</v>
      </c>
      <c r="M641" s="12" t="s">
        <v>913</v>
      </c>
      <c r="N641" s="26">
        <v>20</v>
      </c>
      <c r="O641" s="57">
        <v>134</v>
      </c>
      <c r="P641" s="62">
        <f t="shared" si="10"/>
        <v>2680</v>
      </c>
      <c r="Q641" s="6" t="s">
        <v>397</v>
      </c>
      <c r="R641" s="6" t="s">
        <v>770</v>
      </c>
      <c r="S641" s="38" t="s">
        <v>2032</v>
      </c>
      <c r="T641" s="6">
        <v>100</v>
      </c>
    </row>
    <row r="642" spans="2:20" ht="114.75" outlineLevel="1">
      <c r="B642" s="6">
        <v>626</v>
      </c>
      <c r="C642" s="36" t="s">
        <v>714</v>
      </c>
      <c r="D642" s="37" t="s">
        <v>715</v>
      </c>
      <c r="E642" s="6" t="s">
        <v>474</v>
      </c>
      <c r="F642" s="70" t="s">
        <v>27</v>
      </c>
      <c r="G642" s="70" t="s">
        <v>27</v>
      </c>
      <c r="H642" s="70" t="s">
        <v>475</v>
      </c>
      <c r="I642" s="70" t="s">
        <v>476</v>
      </c>
      <c r="J642" s="70" t="s">
        <v>27</v>
      </c>
      <c r="K642" s="70" t="s">
        <v>27</v>
      </c>
      <c r="L642" s="70" t="s">
        <v>595</v>
      </c>
      <c r="M642" s="38" t="s">
        <v>648</v>
      </c>
      <c r="N642" s="26">
        <v>2</v>
      </c>
      <c r="O642" s="57">
        <v>2679</v>
      </c>
      <c r="P642" s="62">
        <f t="shared" si="10"/>
        <v>5358</v>
      </c>
      <c r="Q642" s="6" t="s">
        <v>397</v>
      </c>
      <c r="R642" s="6" t="s">
        <v>770</v>
      </c>
      <c r="S642" s="38" t="s">
        <v>2032</v>
      </c>
      <c r="T642" s="6">
        <v>100</v>
      </c>
    </row>
    <row r="643" spans="2:20" ht="51">
      <c r="B643" s="6">
        <v>627</v>
      </c>
      <c r="C643" s="36" t="s">
        <v>714</v>
      </c>
      <c r="D643" s="37" t="s">
        <v>715</v>
      </c>
      <c r="E643" s="11" t="s">
        <v>692</v>
      </c>
      <c r="F643" s="70" t="s">
        <v>850</v>
      </c>
      <c r="G643" s="70" t="s">
        <v>850</v>
      </c>
      <c r="H643" s="70" t="s">
        <v>775</v>
      </c>
      <c r="I643" s="70" t="s">
        <v>775</v>
      </c>
      <c r="J643" s="70" t="s">
        <v>850</v>
      </c>
      <c r="K643" s="70" t="s">
        <v>237</v>
      </c>
      <c r="L643" s="70" t="s">
        <v>595</v>
      </c>
      <c r="M643" s="38" t="s">
        <v>648</v>
      </c>
      <c r="N643" s="26">
        <v>240</v>
      </c>
      <c r="O643" s="57">
        <v>45</v>
      </c>
      <c r="P643" s="62">
        <f t="shared" si="10"/>
        <v>10800</v>
      </c>
      <c r="Q643" s="6" t="s">
        <v>397</v>
      </c>
      <c r="R643" s="6" t="s">
        <v>770</v>
      </c>
      <c r="S643" s="38" t="s">
        <v>2032</v>
      </c>
      <c r="T643" s="6">
        <v>100</v>
      </c>
    </row>
    <row r="644" spans="2:20" ht="51">
      <c r="B644" s="6">
        <v>628</v>
      </c>
      <c r="C644" s="36" t="s">
        <v>714</v>
      </c>
      <c r="D644" s="37" t="s">
        <v>715</v>
      </c>
      <c r="E644" s="6" t="s">
        <v>480</v>
      </c>
      <c r="F644" s="70" t="s">
        <v>481</v>
      </c>
      <c r="G644" s="70" t="s">
        <v>28</v>
      </c>
      <c r="H644" s="70" t="s">
        <v>482</v>
      </c>
      <c r="I644" s="70" t="s">
        <v>483</v>
      </c>
      <c r="J644" s="70" t="s">
        <v>481</v>
      </c>
      <c r="K644" s="70" t="s">
        <v>28</v>
      </c>
      <c r="L644" s="70" t="s">
        <v>595</v>
      </c>
      <c r="M644" s="38" t="s">
        <v>648</v>
      </c>
      <c r="N644" s="26">
        <v>10</v>
      </c>
      <c r="O644" s="57">
        <v>759</v>
      </c>
      <c r="P644" s="62">
        <f t="shared" si="10"/>
        <v>7590</v>
      </c>
      <c r="Q644" s="6" t="s">
        <v>397</v>
      </c>
      <c r="R644" s="6" t="s">
        <v>770</v>
      </c>
      <c r="S644" s="38" t="s">
        <v>2032</v>
      </c>
      <c r="T644" s="6">
        <v>100</v>
      </c>
    </row>
    <row r="645" spans="2:20" ht="51">
      <c r="B645" s="6">
        <v>629</v>
      </c>
      <c r="C645" s="36" t="s">
        <v>714</v>
      </c>
      <c r="D645" s="37" t="s">
        <v>715</v>
      </c>
      <c r="E645" s="11" t="s">
        <v>694</v>
      </c>
      <c r="F645" s="70" t="s">
        <v>2191</v>
      </c>
      <c r="G645" s="70" t="s">
        <v>29</v>
      </c>
      <c r="H645" s="70" t="s">
        <v>851</v>
      </c>
      <c r="I645" s="70" t="s">
        <v>776</v>
      </c>
      <c r="J645" s="70" t="s">
        <v>2191</v>
      </c>
      <c r="K645" s="70" t="s">
        <v>29</v>
      </c>
      <c r="L645" s="70" t="s">
        <v>595</v>
      </c>
      <c r="M645" s="6" t="s">
        <v>484</v>
      </c>
      <c r="N645" s="26">
        <v>120</v>
      </c>
      <c r="O645" s="57">
        <v>27</v>
      </c>
      <c r="P645" s="62">
        <f t="shared" si="10"/>
        <v>3240</v>
      </c>
      <c r="Q645" s="6" t="s">
        <v>397</v>
      </c>
      <c r="R645" s="6" t="s">
        <v>770</v>
      </c>
      <c r="S645" s="38" t="s">
        <v>2032</v>
      </c>
      <c r="T645" s="6">
        <v>100</v>
      </c>
    </row>
    <row r="646" spans="2:20" ht="51">
      <c r="B646" s="6">
        <v>630</v>
      </c>
      <c r="C646" s="36" t="s">
        <v>714</v>
      </c>
      <c r="D646" s="37" t="s">
        <v>715</v>
      </c>
      <c r="E646" s="38" t="s">
        <v>695</v>
      </c>
      <c r="F646" s="70" t="s">
        <v>119</v>
      </c>
      <c r="G646" s="70" t="s">
        <v>119</v>
      </c>
      <c r="H646" s="70" t="s">
        <v>852</v>
      </c>
      <c r="I646" s="70" t="s">
        <v>696</v>
      </c>
      <c r="J646" s="70" t="s">
        <v>119</v>
      </c>
      <c r="K646" s="70" t="s">
        <v>119</v>
      </c>
      <c r="L646" s="70" t="s">
        <v>595</v>
      </c>
      <c r="M646" s="38" t="s">
        <v>648</v>
      </c>
      <c r="N646" s="26">
        <v>60</v>
      </c>
      <c r="O646" s="57">
        <v>103</v>
      </c>
      <c r="P646" s="62">
        <f t="shared" si="10"/>
        <v>6180</v>
      </c>
      <c r="Q646" s="6" t="s">
        <v>397</v>
      </c>
      <c r="R646" s="6" t="s">
        <v>770</v>
      </c>
      <c r="S646" s="38" t="s">
        <v>2032</v>
      </c>
      <c r="T646" s="6">
        <v>100</v>
      </c>
    </row>
    <row r="647" spans="2:20" ht="51">
      <c r="B647" s="6">
        <v>631</v>
      </c>
      <c r="C647" s="36" t="s">
        <v>714</v>
      </c>
      <c r="D647" s="37" t="s">
        <v>715</v>
      </c>
      <c r="E647" s="40" t="s">
        <v>426</v>
      </c>
      <c r="F647" s="70" t="s">
        <v>427</v>
      </c>
      <c r="G647" s="70" t="s">
        <v>428</v>
      </c>
      <c r="H647" s="70" t="s">
        <v>841</v>
      </c>
      <c r="I647" s="70" t="s">
        <v>429</v>
      </c>
      <c r="J647" s="70" t="s">
        <v>2312</v>
      </c>
      <c r="K647" s="70" t="s">
        <v>231</v>
      </c>
      <c r="L647" s="70" t="s">
        <v>595</v>
      </c>
      <c r="M647" s="12" t="s">
        <v>913</v>
      </c>
      <c r="N647" s="26">
        <v>336</v>
      </c>
      <c r="O647" s="57">
        <v>670</v>
      </c>
      <c r="P647" s="62">
        <f t="shared" si="10"/>
        <v>225120</v>
      </c>
      <c r="Q647" s="6" t="s">
        <v>397</v>
      </c>
      <c r="R647" s="6" t="s">
        <v>770</v>
      </c>
      <c r="S647" s="38">
        <v>351000000</v>
      </c>
      <c r="T647" s="26">
        <v>0</v>
      </c>
    </row>
    <row r="648" spans="2:20" ht="63.75">
      <c r="B648" s="6">
        <v>632</v>
      </c>
      <c r="C648" s="36" t="s">
        <v>714</v>
      </c>
      <c r="D648" s="37" t="s">
        <v>715</v>
      </c>
      <c r="E648" s="38" t="s">
        <v>430</v>
      </c>
      <c r="F648" s="70" t="s">
        <v>842</v>
      </c>
      <c r="G648" s="70" t="s">
        <v>19</v>
      </c>
      <c r="H648" s="70" t="s">
        <v>843</v>
      </c>
      <c r="I648" s="70" t="s">
        <v>432</v>
      </c>
      <c r="J648" s="70" t="s">
        <v>842</v>
      </c>
      <c r="K648" s="70" t="s">
        <v>19</v>
      </c>
      <c r="L648" s="70" t="s">
        <v>595</v>
      </c>
      <c r="M648" s="6" t="s">
        <v>673</v>
      </c>
      <c r="N648" s="26">
        <v>28</v>
      </c>
      <c r="O648" s="57">
        <v>313</v>
      </c>
      <c r="P648" s="62">
        <f t="shared" si="10"/>
        <v>8764</v>
      </c>
      <c r="Q648" s="6" t="s">
        <v>397</v>
      </c>
      <c r="R648" s="6" t="s">
        <v>770</v>
      </c>
      <c r="S648" s="38">
        <v>351000000</v>
      </c>
      <c r="T648" s="26">
        <v>0</v>
      </c>
    </row>
    <row r="649" spans="2:20" ht="51">
      <c r="B649" s="6">
        <v>633</v>
      </c>
      <c r="C649" s="36" t="s">
        <v>714</v>
      </c>
      <c r="D649" s="37" t="s">
        <v>715</v>
      </c>
      <c r="E649" s="11" t="s">
        <v>433</v>
      </c>
      <c r="F649" s="70" t="s">
        <v>844</v>
      </c>
      <c r="G649" s="70" t="s">
        <v>434</v>
      </c>
      <c r="H649" s="70" t="s">
        <v>845</v>
      </c>
      <c r="I649" s="70" t="s">
        <v>435</v>
      </c>
      <c r="J649" s="70" t="s">
        <v>844</v>
      </c>
      <c r="K649" s="70" t="s">
        <v>232</v>
      </c>
      <c r="L649" s="70" t="s">
        <v>595</v>
      </c>
      <c r="M649" s="12" t="s">
        <v>913</v>
      </c>
      <c r="N649" s="26">
        <v>56</v>
      </c>
      <c r="O649" s="57">
        <v>223</v>
      </c>
      <c r="P649" s="62">
        <f t="shared" si="10"/>
        <v>12488</v>
      </c>
      <c r="Q649" s="6" t="s">
        <v>397</v>
      </c>
      <c r="R649" s="6" t="s">
        <v>770</v>
      </c>
      <c r="S649" s="38">
        <v>351000000</v>
      </c>
      <c r="T649" s="26">
        <v>0</v>
      </c>
    </row>
    <row r="650" spans="2:20" ht="51">
      <c r="B650" s="6">
        <v>634</v>
      </c>
      <c r="C650" s="36" t="s">
        <v>714</v>
      </c>
      <c r="D650" s="37" t="s">
        <v>715</v>
      </c>
      <c r="E650" s="12" t="s">
        <v>898</v>
      </c>
      <c r="F650" s="70" t="s">
        <v>771</v>
      </c>
      <c r="G650" s="70" t="s">
        <v>18</v>
      </c>
      <c r="H650" s="70" t="s">
        <v>2188</v>
      </c>
      <c r="I650" s="70" t="s">
        <v>674</v>
      </c>
      <c r="J650" s="70" t="s">
        <v>771</v>
      </c>
      <c r="K650" s="70" t="s">
        <v>18</v>
      </c>
      <c r="L650" s="70" t="s">
        <v>595</v>
      </c>
      <c r="M650" s="6" t="s">
        <v>484</v>
      </c>
      <c r="N650" s="26">
        <v>56</v>
      </c>
      <c r="O650" s="57">
        <v>179</v>
      </c>
      <c r="P650" s="62">
        <f t="shared" si="10"/>
        <v>10024</v>
      </c>
      <c r="Q650" s="6" t="s">
        <v>397</v>
      </c>
      <c r="R650" s="6" t="s">
        <v>770</v>
      </c>
      <c r="S650" s="38">
        <v>351000000</v>
      </c>
      <c r="T650" s="26">
        <v>0</v>
      </c>
    </row>
    <row r="651" spans="2:20" ht="51">
      <c r="B651" s="6">
        <v>635</v>
      </c>
      <c r="C651" s="16" t="s">
        <v>714</v>
      </c>
      <c r="D651" s="37" t="s">
        <v>715</v>
      </c>
      <c r="E651" s="6" t="s">
        <v>675</v>
      </c>
      <c r="F651" s="70" t="s">
        <v>20</v>
      </c>
      <c r="G651" s="70" t="s">
        <v>20</v>
      </c>
      <c r="H651" s="70" t="s">
        <v>2237</v>
      </c>
      <c r="I651" s="70" t="s">
        <v>772</v>
      </c>
      <c r="J651" s="70" t="s">
        <v>20</v>
      </c>
      <c r="K651" s="70" t="s">
        <v>20</v>
      </c>
      <c r="L651" s="70" t="s">
        <v>595</v>
      </c>
      <c r="M651" s="38" t="s">
        <v>648</v>
      </c>
      <c r="N651" s="26">
        <v>56</v>
      </c>
      <c r="O651" s="57">
        <v>107</v>
      </c>
      <c r="P651" s="62">
        <f t="shared" si="10"/>
        <v>5992</v>
      </c>
      <c r="Q651" s="6" t="s">
        <v>397</v>
      </c>
      <c r="R651" s="6" t="s">
        <v>770</v>
      </c>
      <c r="S651" s="38">
        <v>351000000</v>
      </c>
      <c r="T651" s="26">
        <v>0</v>
      </c>
    </row>
    <row r="652" spans="2:20" ht="51">
      <c r="B652" s="6">
        <v>636</v>
      </c>
      <c r="C652" s="36" t="s">
        <v>714</v>
      </c>
      <c r="D652" s="37" t="s">
        <v>715</v>
      </c>
      <c r="E652" s="11" t="s">
        <v>677</v>
      </c>
      <c r="F652" s="70" t="s">
        <v>21</v>
      </c>
      <c r="G652" s="70" t="s">
        <v>21</v>
      </c>
      <c r="H652" s="70" t="s">
        <v>2255</v>
      </c>
      <c r="I652" s="70" t="s">
        <v>678</v>
      </c>
      <c r="J652" s="70" t="s">
        <v>21</v>
      </c>
      <c r="K652" s="70" t="s">
        <v>21</v>
      </c>
      <c r="L652" s="70" t="s">
        <v>595</v>
      </c>
      <c r="M652" s="38" t="s">
        <v>648</v>
      </c>
      <c r="N652" s="26">
        <v>14</v>
      </c>
      <c r="O652" s="57">
        <v>1339</v>
      </c>
      <c r="P652" s="62">
        <f t="shared" si="10"/>
        <v>18746</v>
      </c>
      <c r="Q652" s="6" t="s">
        <v>397</v>
      </c>
      <c r="R652" s="6" t="s">
        <v>770</v>
      </c>
      <c r="S652" s="38">
        <v>351000000</v>
      </c>
      <c r="T652" s="26">
        <v>0</v>
      </c>
    </row>
    <row r="653" spans="2:20" ht="63.75">
      <c r="B653" s="6">
        <v>637</v>
      </c>
      <c r="C653" s="16" t="s">
        <v>714</v>
      </c>
      <c r="D653" s="37" t="s">
        <v>715</v>
      </c>
      <c r="E653" s="11" t="s">
        <v>679</v>
      </c>
      <c r="F653" s="70" t="s">
        <v>2085</v>
      </c>
      <c r="G653" s="70" t="s">
        <v>22</v>
      </c>
      <c r="H653" s="70" t="s">
        <v>847</v>
      </c>
      <c r="I653" s="70" t="s">
        <v>773</v>
      </c>
      <c r="J653" s="70" t="s">
        <v>2085</v>
      </c>
      <c r="K653" s="70" t="s">
        <v>22</v>
      </c>
      <c r="L653" s="70" t="s">
        <v>595</v>
      </c>
      <c r="M653" s="6" t="s">
        <v>484</v>
      </c>
      <c r="N653" s="26">
        <v>336</v>
      </c>
      <c r="O653" s="57">
        <v>13</v>
      </c>
      <c r="P653" s="62">
        <f t="shared" si="10"/>
        <v>4368</v>
      </c>
      <c r="Q653" s="6" t="s">
        <v>397</v>
      </c>
      <c r="R653" s="6" t="s">
        <v>770</v>
      </c>
      <c r="S653" s="38">
        <v>351000000</v>
      </c>
      <c r="T653" s="26">
        <v>0</v>
      </c>
    </row>
    <row r="654" spans="2:20" ht="51">
      <c r="B654" s="6">
        <v>638</v>
      </c>
      <c r="C654" s="36" t="s">
        <v>714</v>
      </c>
      <c r="D654" s="37" t="s">
        <v>715</v>
      </c>
      <c r="E654" s="6" t="s">
        <v>447</v>
      </c>
      <c r="F654" s="70" t="s">
        <v>448</v>
      </c>
      <c r="G654" s="70" t="s">
        <v>448</v>
      </c>
      <c r="H654" s="70" t="s">
        <v>449</v>
      </c>
      <c r="I654" s="70" t="s">
        <v>450</v>
      </c>
      <c r="J654" s="70" t="s">
        <v>233</v>
      </c>
      <c r="K654" s="70" t="s">
        <v>233</v>
      </c>
      <c r="L654" s="70" t="s">
        <v>595</v>
      </c>
      <c r="M654" s="38" t="s">
        <v>648</v>
      </c>
      <c r="N654" s="26">
        <v>84</v>
      </c>
      <c r="O654" s="57">
        <v>446</v>
      </c>
      <c r="P654" s="62">
        <f t="shared" si="10"/>
        <v>37464</v>
      </c>
      <c r="Q654" s="6" t="s">
        <v>397</v>
      </c>
      <c r="R654" s="6" t="s">
        <v>770</v>
      </c>
      <c r="S654" s="38">
        <v>351000000</v>
      </c>
      <c r="T654" s="26">
        <v>0</v>
      </c>
    </row>
    <row r="655" spans="2:20" ht="51">
      <c r="B655" s="6">
        <v>639</v>
      </c>
      <c r="C655" s="36" t="s">
        <v>714</v>
      </c>
      <c r="D655" s="37" t="s">
        <v>715</v>
      </c>
      <c r="E655" s="11" t="s">
        <v>681</v>
      </c>
      <c r="F655" s="70" t="s">
        <v>2285</v>
      </c>
      <c r="G655" s="70" t="s">
        <v>23</v>
      </c>
      <c r="H655" s="70" t="s">
        <v>848</v>
      </c>
      <c r="I655" s="70" t="s">
        <v>682</v>
      </c>
      <c r="J655" s="70" t="s">
        <v>2285</v>
      </c>
      <c r="K655" s="70" t="s">
        <v>23</v>
      </c>
      <c r="L655" s="70" t="s">
        <v>595</v>
      </c>
      <c r="M655" s="38" t="s">
        <v>648</v>
      </c>
      <c r="N655" s="26">
        <v>84</v>
      </c>
      <c r="O655" s="57">
        <v>268</v>
      </c>
      <c r="P655" s="62">
        <f t="shared" si="10"/>
        <v>22512</v>
      </c>
      <c r="Q655" s="6" t="s">
        <v>397</v>
      </c>
      <c r="R655" s="6" t="s">
        <v>770</v>
      </c>
      <c r="S655" s="38">
        <v>351000000</v>
      </c>
      <c r="T655" s="26">
        <v>0</v>
      </c>
    </row>
    <row r="656" spans="2:20" ht="51">
      <c r="B656" s="6">
        <v>640</v>
      </c>
      <c r="C656" s="36" t="s">
        <v>714</v>
      </c>
      <c r="D656" s="37" t="s">
        <v>715</v>
      </c>
      <c r="E656" s="11" t="s">
        <v>683</v>
      </c>
      <c r="F656" s="70" t="s">
        <v>24</v>
      </c>
      <c r="G656" s="70" t="s">
        <v>24</v>
      </c>
      <c r="H656" s="70" t="s">
        <v>2288</v>
      </c>
      <c r="I656" s="70" t="s">
        <v>684</v>
      </c>
      <c r="J656" s="70" t="s">
        <v>24</v>
      </c>
      <c r="K656" s="70" t="s">
        <v>24</v>
      </c>
      <c r="L656" s="70" t="s">
        <v>595</v>
      </c>
      <c r="M656" s="38" t="s">
        <v>648</v>
      </c>
      <c r="N656" s="26">
        <v>14</v>
      </c>
      <c r="O656" s="57">
        <v>223</v>
      </c>
      <c r="P656" s="62">
        <f t="shared" si="10"/>
        <v>3122</v>
      </c>
      <c r="Q656" s="6" t="s">
        <v>397</v>
      </c>
      <c r="R656" s="6" t="s">
        <v>770</v>
      </c>
      <c r="S656" s="38">
        <v>351000000</v>
      </c>
      <c r="T656" s="26">
        <v>0</v>
      </c>
    </row>
    <row r="657" spans="2:20" ht="51">
      <c r="B657" s="6">
        <v>641</v>
      </c>
      <c r="C657" s="36" t="s">
        <v>714</v>
      </c>
      <c r="D657" s="37" t="s">
        <v>715</v>
      </c>
      <c r="E657" s="6" t="s">
        <v>453</v>
      </c>
      <c r="F657" s="70" t="s">
        <v>2287</v>
      </c>
      <c r="G657" s="70" t="s">
        <v>454</v>
      </c>
      <c r="H657" s="70" t="s">
        <v>2290</v>
      </c>
      <c r="I657" s="70" t="s">
        <v>455</v>
      </c>
      <c r="J657" s="70" t="s">
        <v>2287</v>
      </c>
      <c r="K657" s="70" t="s">
        <v>234</v>
      </c>
      <c r="L657" s="70" t="s">
        <v>595</v>
      </c>
      <c r="M657" s="6" t="s">
        <v>484</v>
      </c>
      <c r="N657" s="26">
        <v>84</v>
      </c>
      <c r="O657" s="57">
        <v>223</v>
      </c>
      <c r="P657" s="62">
        <f t="shared" ref="P657:P720" si="11">N657*O657</f>
        <v>18732</v>
      </c>
      <c r="Q657" s="6" t="s">
        <v>397</v>
      </c>
      <c r="R657" s="6" t="s">
        <v>770</v>
      </c>
      <c r="S657" s="38">
        <v>351000000</v>
      </c>
      <c r="T657" s="26">
        <v>0</v>
      </c>
    </row>
    <row r="658" spans="2:20" ht="51">
      <c r="B658" s="6">
        <v>642</v>
      </c>
      <c r="C658" s="36" t="s">
        <v>714</v>
      </c>
      <c r="D658" s="37" t="s">
        <v>715</v>
      </c>
      <c r="E658" s="6" t="s">
        <v>456</v>
      </c>
      <c r="F658" s="70" t="s">
        <v>457</v>
      </c>
      <c r="G658" s="70" t="s">
        <v>458</v>
      </c>
      <c r="H658" s="70" t="s">
        <v>459</v>
      </c>
      <c r="I658" s="70" t="s">
        <v>460</v>
      </c>
      <c r="J658" s="70" t="s">
        <v>457</v>
      </c>
      <c r="K658" s="70" t="s">
        <v>235</v>
      </c>
      <c r="L658" s="70" t="s">
        <v>595</v>
      </c>
      <c r="M658" s="6" t="s">
        <v>484</v>
      </c>
      <c r="N658" s="26">
        <v>84</v>
      </c>
      <c r="O658" s="57">
        <v>179</v>
      </c>
      <c r="P658" s="62">
        <f t="shared" si="11"/>
        <v>15036</v>
      </c>
      <c r="Q658" s="6" t="s">
        <v>397</v>
      </c>
      <c r="R658" s="6" t="s">
        <v>770</v>
      </c>
      <c r="S658" s="38">
        <v>351000000</v>
      </c>
      <c r="T658" s="26">
        <v>0</v>
      </c>
    </row>
    <row r="659" spans="2:20" ht="51">
      <c r="B659" s="6">
        <v>643</v>
      </c>
      <c r="C659" s="36" t="s">
        <v>714</v>
      </c>
      <c r="D659" s="37" t="s">
        <v>715</v>
      </c>
      <c r="E659" s="6" t="s">
        <v>461</v>
      </c>
      <c r="F659" s="70" t="s">
        <v>17</v>
      </c>
      <c r="G659" s="70" t="s">
        <v>17</v>
      </c>
      <c r="H659" s="70" t="s">
        <v>2298</v>
      </c>
      <c r="I659" s="70" t="s">
        <v>2299</v>
      </c>
      <c r="J659" s="70" t="s">
        <v>17</v>
      </c>
      <c r="K659" s="70" t="s">
        <v>17</v>
      </c>
      <c r="L659" s="70" t="s">
        <v>595</v>
      </c>
      <c r="M659" s="38" t="s">
        <v>648</v>
      </c>
      <c r="N659" s="26">
        <v>28</v>
      </c>
      <c r="O659" s="57">
        <v>714</v>
      </c>
      <c r="P659" s="62">
        <f t="shared" si="11"/>
        <v>19992</v>
      </c>
      <c r="Q659" s="6" t="s">
        <v>397</v>
      </c>
      <c r="R659" s="6" t="s">
        <v>770</v>
      </c>
      <c r="S659" s="38">
        <v>351000000</v>
      </c>
      <c r="T659" s="26">
        <v>0</v>
      </c>
    </row>
    <row r="660" spans="2:20" ht="51">
      <c r="B660" s="6">
        <v>644</v>
      </c>
      <c r="C660" s="36" t="s">
        <v>714</v>
      </c>
      <c r="D660" s="37" t="s">
        <v>715</v>
      </c>
      <c r="E660" s="12" t="s">
        <v>463</v>
      </c>
      <c r="F660" s="70" t="s">
        <v>1697</v>
      </c>
      <c r="G660" s="70" t="s">
        <v>464</v>
      </c>
      <c r="H660" s="70" t="s">
        <v>2223</v>
      </c>
      <c r="I660" s="70" t="s">
        <v>2224</v>
      </c>
      <c r="J660" s="70" t="s">
        <v>236</v>
      </c>
      <c r="K660" s="70" t="s">
        <v>236</v>
      </c>
      <c r="L660" s="70" t="s">
        <v>595</v>
      </c>
      <c r="M660" s="38" t="s">
        <v>648</v>
      </c>
      <c r="N660" s="26">
        <v>56</v>
      </c>
      <c r="O660" s="57">
        <v>161</v>
      </c>
      <c r="P660" s="62">
        <f t="shared" si="11"/>
        <v>9016</v>
      </c>
      <c r="Q660" s="6" t="s">
        <v>397</v>
      </c>
      <c r="R660" s="6" t="s">
        <v>770</v>
      </c>
      <c r="S660" s="38">
        <v>351000000</v>
      </c>
      <c r="T660" s="26">
        <v>0</v>
      </c>
    </row>
    <row r="661" spans="2:20" ht="51">
      <c r="B661" s="6">
        <v>645</v>
      </c>
      <c r="C661" s="16" t="s">
        <v>714</v>
      </c>
      <c r="D661" s="37" t="s">
        <v>715</v>
      </c>
      <c r="E661" s="38" t="s">
        <v>466</v>
      </c>
      <c r="F661" s="70" t="s">
        <v>470</v>
      </c>
      <c r="G661" s="70" t="s">
        <v>467</v>
      </c>
      <c r="H661" s="70" t="s">
        <v>2278</v>
      </c>
      <c r="I661" s="70" t="s">
        <v>1276</v>
      </c>
      <c r="J661" s="70" t="s">
        <v>470</v>
      </c>
      <c r="K661" s="70" t="s">
        <v>467</v>
      </c>
      <c r="L661" s="70" t="s">
        <v>595</v>
      </c>
      <c r="M661" s="38" t="s">
        <v>648</v>
      </c>
      <c r="N661" s="26">
        <v>56</v>
      </c>
      <c r="O661" s="57">
        <v>161</v>
      </c>
      <c r="P661" s="62">
        <f t="shared" si="11"/>
        <v>9016</v>
      </c>
      <c r="Q661" s="6" t="s">
        <v>397</v>
      </c>
      <c r="R661" s="6" t="s">
        <v>770</v>
      </c>
      <c r="S661" s="38">
        <v>351000000</v>
      </c>
      <c r="T661" s="26">
        <v>0</v>
      </c>
    </row>
    <row r="662" spans="2:20" ht="51">
      <c r="B662" s="6">
        <v>646</v>
      </c>
      <c r="C662" s="36" t="s">
        <v>714</v>
      </c>
      <c r="D662" s="37" t="s">
        <v>715</v>
      </c>
      <c r="E662" s="11" t="s">
        <v>688</v>
      </c>
      <c r="F662" s="70" t="s">
        <v>470</v>
      </c>
      <c r="G662" s="70" t="s">
        <v>25</v>
      </c>
      <c r="H662" s="70" t="s">
        <v>2199</v>
      </c>
      <c r="I662" s="70" t="s">
        <v>689</v>
      </c>
      <c r="J662" s="70" t="s">
        <v>470</v>
      </c>
      <c r="K662" s="70" t="s">
        <v>25</v>
      </c>
      <c r="L662" s="70" t="s">
        <v>595</v>
      </c>
      <c r="M662" s="38" t="s">
        <v>648</v>
      </c>
      <c r="N662" s="26">
        <v>56</v>
      </c>
      <c r="O662" s="57">
        <v>45</v>
      </c>
      <c r="P662" s="62">
        <f t="shared" si="11"/>
        <v>2520</v>
      </c>
      <c r="Q662" s="6" t="s">
        <v>397</v>
      </c>
      <c r="R662" s="6" t="s">
        <v>770</v>
      </c>
      <c r="S662" s="38">
        <v>351000000</v>
      </c>
      <c r="T662" s="26">
        <v>0</v>
      </c>
    </row>
    <row r="663" spans="2:20" ht="51">
      <c r="B663" s="6">
        <v>647</v>
      </c>
      <c r="C663" s="16" t="s">
        <v>714</v>
      </c>
      <c r="D663" s="37" t="s">
        <v>715</v>
      </c>
      <c r="E663" s="11" t="s">
        <v>690</v>
      </c>
      <c r="F663" s="70" t="s">
        <v>2313</v>
      </c>
      <c r="G663" s="70" t="s">
        <v>26</v>
      </c>
      <c r="H663" s="70" t="s">
        <v>2314</v>
      </c>
      <c r="I663" s="70" t="s">
        <v>691</v>
      </c>
      <c r="J663" s="70" t="s">
        <v>2313</v>
      </c>
      <c r="K663" s="70" t="s">
        <v>26</v>
      </c>
      <c r="L663" s="70" t="s">
        <v>595</v>
      </c>
      <c r="M663" s="12" t="s">
        <v>913</v>
      </c>
      <c r="N663" s="26">
        <v>28</v>
      </c>
      <c r="O663" s="57">
        <v>134</v>
      </c>
      <c r="P663" s="62">
        <f t="shared" si="11"/>
        <v>3752</v>
      </c>
      <c r="Q663" s="6" t="s">
        <v>397</v>
      </c>
      <c r="R663" s="6" t="s">
        <v>770</v>
      </c>
      <c r="S663" s="38">
        <v>351000000</v>
      </c>
      <c r="T663" s="26">
        <v>0</v>
      </c>
    </row>
    <row r="664" spans="2:20" ht="114.75">
      <c r="B664" s="6">
        <v>648</v>
      </c>
      <c r="C664" s="36" t="s">
        <v>714</v>
      </c>
      <c r="D664" s="37" t="s">
        <v>715</v>
      </c>
      <c r="E664" s="6" t="s">
        <v>474</v>
      </c>
      <c r="F664" s="70" t="s">
        <v>27</v>
      </c>
      <c r="G664" s="70" t="s">
        <v>27</v>
      </c>
      <c r="H664" s="70" t="s">
        <v>475</v>
      </c>
      <c r="I664" s="70" t="s">
        <v>476</v>
      </c>
      <c r="J664" s="70" t="s">
        <v>27</v>
      </c>
      <c r="K664" s="70" t="s">
        <v>27</v>
      </c>
      <c r="L664" s="70" t="s">
        <v>595</v>
      </c>
      <c r="M664" s="38" t="s">
        <v>648</v>
      </c>
      <c r="N664" s="26">
        <v>3</v>
      </c>
      <c r="O664" s="57">
        <v>2679</v>
      </c>
      <c r="P664" s="62">
        <f t="shared" si="11"/>
        <v>8037</v>
      </c>
      <c r="Q664" s="6" t="s">
        <v>397</v>
      </c>
      <c r="R664" s="6" t="s">
        <v>770</v>
      </c>
      <c r="S664" s="38">
        <v>351000000</v>
      </c>
      <c r="T664" s="26">
        <v>0</v>
      </c>
    </row>
    <row r="665" spans="2:20" ht="51">
      <c r="B665" s="6">
        <v>649</v>
      </c>
      <c r="C665" s="36" t="s">
        <v>714</v>
      </c>
      <c r="D665" s="37" t="s">
        <v>715</v>
      </c>
      <c r="E665" s="11" t="s">
        <v>1128</v>
      </c>
      <c r="F665" s="70" t="s">
        <v>850</v>
      </c>
      <c r="G665" s="70" t="s">
        <v>478</v>
      </c>
      <c r="H665" s="70" t="s">
        <v>1735</v>
      </c>
      <c r="I665" s="70" t="s">
        <v>1129</v>
      </c>
      <c r="J665" s="70" t="s">
        <v>850</v>
      </c>
      <c r="K665" s="70" t="s">
        <v>237</v>
      </c>
      <c r="L665" s="70" t="s">
        <v>595</v>
      </c>
      <c r="M665" s="38" t="s">
        <v>648</v>
      </c>
      <c r="N665" s="26">
        <v>336</v>
      </c>
      <c r="O665" s="57">
        <v>45</v>
      </c>
      <c r="P665" s="62">
        <f t="shared" si="11"/>
        <v>15120</v>
      </c>
      <c r="Q665" s="6" t="s">
        <v>397</v>
      </c>
      <c r="R665" s="6" t="s">
        <v>770</v>
      </c>
      <c r="S665" s="38">
        <v>351000000</v>
      </c>
      <c r="T665" s="26">
        <v>0</v>
      </c>
    </row>
    <row r="666" spans="2:20" ht="51">
      <c r="B666" s="6">
        <v>650</v>
      </c>
      <c r="C666" s="36" t="s">
        <v>714</v>
      </c>
      <c r="D666" s="37" t="s">
        <v>715</v>
      </c>
      <c r="E666" s="6" t="s">
        <v>480</v>
      </c>
      <c r="F666" s="70" t="s">
        <v>481</v>
      </c>
      <c r="G666" s="70" t="s">
        <v>28</v>
      </c>
      <c r="H666" s="70" t="s">
        <v>482</v>
      </c>
      <c r="I666" s="70" t="s">
        <v>483</v>
      </c>
      <c r="J666" s="70" t="s">
        <v>481</v>
      </c>
      <c r="K666" s="70" t="s">
        <v>28</v>
      </c>
      <c r="L666" s="70" t="s">
        <v>595</v>
      </c>
      <c r="M666" s="38" t="s">
        <v>648</v>
      </c>
      <c r="N666" s="26">
        <v>14</v>
      </c>
      <c r="O666" s="57">
        <v>759</v>
      </c>
      <c r="P666" s="62">
        <f t="shared" si="11"/>
        <v>10626</v>
      </c>
      <c r="Q666" s="6" t="s">
        <v>397</v>
      </c>
      <c r="R666" s="6" t="s">
        <v>770</v>
      </c>
      <c r="S666" s="38">
        <v>351000000</v>
      </c>
      <c r="T666" s="26">
        <v>0</v>
      </c>
    </row>
    <row r="667" spans="2:20" ht="51">
      <c r="B667" s="6">
        <v>651</v>
      </c>
      <c r="C667" s="36" t="s">
        <v>714</v>
      </c>
      <c r="D667" s="37" t="s">
        <v>715</v>
      </c>
      <c r="E667" s="11" t="s">
        <v>694</v>
      </c>
      <c r="F667" s="70" t="s">
        <v>2191</v>
      </c>
      <c r="G667" s="70" t="s">
        <v>29</v>
      </c>
      <c r="H667" s="70" t="s">
        <v>851</v>
      </c>
      <c r="I667" s="70" t="s">
        <v>776</v>
      </c>
      <c r="J667" s="70" t="s">
        <v>2191</v>
      </c>
      <c r="K667" s="70" t="s">
        <v>29</v>
      </c>
      <c r="L667" s="70" t="s">
        <v>595</v>
      </c>
      <c r="M667" s="6" t="s">
        <v>484</v>
      </c>
      <c r="N667" s="26">
        <v>168</v>
      </c>
      <c r="O667" s="57">
        <v>27</v>
      </c>
      <c r="P667" s="62">
        <f t="shared" si="11"/>
        <v>4536</v>
      </c>
      <c r="Q667" s="6" t="s">
        <v>397</v>
      </c>
      <c r="R667" s="6" t="s">
        <v>770</v>
      </c>
      <c r="S667" s="38">
        <v>351000000</v>
      </c>
      <c r="T667" s="26">
        <v>0</v>
      </c>
    </row>
    <row r="668" spans="2:20" ht="51">
      <c r="B668" s="6">
        <v>652</v>
      </c>
      <c r="C668" s="36" t="s">
        <v>714</v>
      </c>
      <c r="D668" s="37" t="s">
        <v>715</v>
      </c>
      <c r="E668" s="38" t="s">
        <v>695</v>
      </c>
      <c r="F668" s="70" t="s">
        <v>119</v>
      </c>
      <c r="G668" s="70" t="s">
        <v>119</v>
      </c>
      <c r="H668" s="70" t="s">
        <v>852</v>
      </c>
      <c r="I668" s="70" t="s">
        <v>696</v>
      </c>
      <c r="J668" s="70" t="s">
        <v>119</v>
      </c>
      <c r="K668" s="70" t="s">
        <v>119</v>
      </c>
      <c r="L668" s="70" t="s">
        <v>595</v>
      </c>
      <c r="M668" s="38" t="s">
        <v>648</v>
      </c>
      <c r="N668" s="26">
        <v>84</v>
      </c>
      <c r="O668" s="57">
        <v>103</v>
      </c>
      <c r="P668" s="62">
        <f t="shared" si="11"/>
        <v>8652</v>
      </c>
      <c r="Q668" s="6" t="s">
        <v>397</v>
      </c>
      <c r="R668" s="6" t="s">
        <v>770</v>
      </c>
      <c r="S668" s="38">
        <v>351000000</v>
      </c>
      <c r="T668" s="26">
        <v>0</v>
      </c>
    </row>
    <row r="669" spans="2:20" ht="51">
      <c r="B669" s="6">
        <v>653</v>
      </c>
      <c r="C669" s="36" t="s">
        <v>714</v>
      </c>
      <c r="D669" s="37" t="s">
        <v>715</v>
      </c>
      <c r="E669" s="40" t="s">
        <v>426</v>
      </c>
      <c r="F669" s="70" t="s">
        <v>427</v>
      </c>
      <c r="G669" s="70" t="s">
        <v>428</v>
      </c>
      <c r="H669" s="70" t="s">
        <v>841</v>
      </c>
      <c r="I669" s="70" t="s">
        <v>429</v>
      </c>
      <c r="J669" s="70" t="s">
        <v>2312</v>
      </c>
      <c r="K669" s="70" t="s">
        <v>231</v>
      </c>
      <c r="L669" s="70" t="s">
        <v>595</v>
      </c>
      <c r="M669" s="12" t="s">
        <v>913</v>
      </c>
      <c r="N669" s="26">
        <v>264</v>
      </c>
      <c r="O669" s="57">
        <v>670</v>
      </c>
      <c r="P669" s="62">
        <f t="shared" si="11"/>
        <v>176880</v>
      </c>
      <c r="Q669" s="6" t="s">
        <v>397</v>
      </c>
      <c r="R669" s="6" t="s">
        <v>770</v>
      </c>
      <c r="S669" s="38">
        <v>431000000</v>
      </c>
      <c r="T669" s="26">
        <v>0</v>
      </c>
    </row>
    <row r="670" spans="2:20" ht="63.75">
      <c r="B670" s="6">
        <v>654</v>
      </c>
      <c r="C670" s="36" t="s">
        <v>714</v>
      </c>
      <c r="D670" s="37" t="s">
        <v>715</v>
      </c>
      <c r="E670" s="38" t="s">
        <v>430</v>
      </c>
      <c r="F670" s="70" t="s">
        <v>842</v>
      </c>
      <c r="G670" s="70" t="s">
        <v>19</v>
      </c>
      <c r="H670" s="70" t="s">
        <v>843</v>
      </c>
      <c r="I670" s="70" t="s">
        <v>432</v>
      </c>
      <c r="J670" s="70" t="s">
        <v>842</v>
      </c>
      <c r="K670" s="70" t="s">
        <v>19</v>
      </c>
      <c r="L670" s="70" t="s">
        <v>595</v>
      </c>
      <c r="M670" s="6" t="s">
        <v>673</v>
      </c>
      <c r="N670" s="26">
        <v>22</v>
      </c>
      <c r="O670" s="57">
        <v>313</v>
      </c>
      <c r="P670" s="62">
        <f t="shared" si="11"/>
        <v>6886</v>
      </c>
      <c r="Q670" s="6" t="s">
        <v>397</v>
      </c>
      <c r="R670" s="6" t="s">
        <v>770</v>
      </c>
      <c r="S670" s="38">
        <v>431000000</v>
      </c>
      <c r="T670" s="26">
        <v>0</v>
      </c>
    </row>
    <row r="671" spans="2:20" ht="51">
      <c r="B671" s="6">
        <v>655</v>
      </c>
      <c r="C671" s="36" t="s">
        <v>714</v>
      </c>
      <c r="D671" s="37" t="s">
        <v>715</v>
      </c>
      <c r="E671" s="11" t="s">
        <v>433</v>
      </c>
      <c r="F671" s="70" t="s">
        <v>844</v>
      </c>
      <c r="G671" s="70" t="s">
        <v>434</v>
      </c>
      <c r="H671" s="70" t="s">
        <v>845</v>
      </c>
      <c r="I671" s="70" t="s">
        <v>435</v>
      </c>
      <c r="J671" s="70" t="s">
        <v>844</v>
      </c>
      <c r="K671" s="70" t="s">
        <v>232</v>
      </c>
      <c r="L671" s="70" t="s">
        <v>595</v>
      </c>
      <c r="M671" s="12" t="s">
        <v>913</v>
      </c>
      <c r="N671" s="26">
        <v>44</v>
      </c>
      <c r="O671" s="57">
        <v>223</v>
      </c>
      <c r="P671" s="62">
        <f t="shared" si="11"/>
        <v>9812</v>
      </c>
      <c r="Q671" s="6" t="s">
        <v>397</v>
      </c>
      <c r="R671" s="6" t="s">
        <v>770</v>
      </c>
      <c r="S671" s="38">
        <v>431000000</v>
      </c>
      <c r="T671" s="26">
        <v>0</v>
      </c>
    </row>
    <row r="672" spans="2:20" ht="51">
      <c r="B672" s="6">
        <v>656</v>
      </c>
      <c r="C672" s="36" t="s">
        <v>714</v>
      </c>
      <c r="D672" s="37" t="s">
        <v>715</v>
      </c>
      <c r="E672" s="6" t="s">
        <v>436</v>
      </c>
      <c r="F672" s="70" t="s">
        <v>437</v>
      </c>
      <c r="G672" s="70" t="s">
        <v>438</v>
      </c>
      <c r="H672" s="70" t="s">
        <v>439</v>
      </c>
      <c r="I672" s="70" t="s">
        <v>440</v>
      </c>
      <c r="J672" s="70" t="s">
        <v>771</v>
      </c>
      <c r="K672" s="70" t="s">
        <v>18</v>
      </c>
      <c r="L672" s="70" t="s">
        <v>595</v>
      </c>
      <c r="M672" s="6" t="s">
        <v>648</v>
      </c>
      <c r="N672" s="26">
        <v>44</v>
      </c>
      <c r="O672" s="57">
        <v>179</v>
      </c>
      <c r="P672" s="62">
        <f t="shared" si="11"/>
        <v>7876</v>
      </c>
      <c r="Q672" s="6" t="s">
        <v>397</v>
      </c>
      <c r="R672" s="6" t="s">
        <v>770</v>
      </c>
      <c r="S672" s="38">
        <v>431000000</v>
      </c>
      <c r="T672" s="26">
        <v>0</v>
      </c>
    </row>
    <row r="673" spans="2:20" ht="51">
      <c r="B673" s="6">
        <v>657</v>
      </c>
      <c r="C673" s="16" t="s">
        <v>714</v>
      </c>
      <c r="D673" s="37" t="s">
        <v>715</v>
      </c>
      <c r="E673" s="6" t="s">
        <v>441</v>
      </c>
      <c r="F673" s="70" t="s">
        <v>20</v>
      </c>
      <c r="G673" s="70" t="s">
        <v>20</v>
      </c>
      <c r="H673" s="70" t="s">
        <v>442</v>
      </c>
      <c r="I673" s="70" t="s">
        <v>443</v>
      </c>
      <c r="J673" s="70" t="s">
        <v>20</v>
      </c>
      <c r="K673" s="70" t="s">
        <v>20</v>
      </c>
      <c r="L673" s="70" t="s">
        <v>595</v>
      </c>
      <c r="M673" s="38" t="s">
        <v>648</v>
      </c>
      <c r="N673" s="26">
        <v>44</v>
      </c>
      <c r="O673" s="57">
        <v>107</v>
      </c>
      <c r="P673" s="62">
        <f t="shared" si="11"/>
        <v>4708</v>
      </c>
      <c r="Q673" s="6" t="s">
        <v>397</v>
      </c>
      <c r="R673" s="6" t="s">
        <v>770</v>
      </c>
      <c r="S673" s="38">
        <v>431000000</v>
      </c>
      <c r="T673" s="26">
        <v>0</v>
      </c>
    </row>
    <row r="674" spans="2:20" ht="51">
      <c r="B674" s="6">
        <v>658</v>
      </c>
      <c r="C674" s="36" t="s">
        <v>714</v>
      </c>
      <c r="D674" s="37" t="s">
        <v>715</v>
      </c>
      <c r="E674" s="6" t="s">
        <v>444</v>
      </c>
      <c r="F674" s="70" t="s">
        <v>21</v>
      </c>
      <c r="G674" s="70" t="s">
        <v>21</v>
      </c>
      <c r="H674" s="70" t="s">
        <v>445</v>
      </c>
      <c r="I674" s="70" t="s">
        <v>446</v>
      </c>
      <c r="J674" s="70" t="s">
        <v>21</v>
      </c>
      <c r="K674" s="70" t="s">
        <v>21</v>
      </c>
      <c r="L674" s="70" t="s">
        <v>595</v>
      </c>
      <c r="M674" s="38" t="s">
        <v>648</v>
      </c>
      <c r="N674" s="26">
        <v>11</v>
      </c>
      <c r="O674" s="57">
        <v>1339</v>
      </c>
      <c r="P674" s="62">
        <f t="shared" si="11"/>
        <v>14729</v>
      </c>
      <c r="Q674" s="6" t="s">
        <v>397</v>
      </c>
      <c r="R674" s="6" t="s">
        <v>770</v>
      </c>
      <c r="S674" s="38">
        <v>431000000</v>
      </c>
      <c r="T674" s="26">
        <v>0</v>
      </c>
    </row>
    <row r="675" spans="2:20" ht="63.75">
      <c r="B675" s="6">
        <v>659</v>
      </c>
      <c r="C675" s="16" t="s">
        <v>714</v>
      </c>
      <c r="D675" s="37" t="s">
        <v>715</v>
      </c>
      <c r="E675" s="11" t="s">
        <v>679</v>
      </c>
      <c r="F675" s="70" t="s">
        <v>2085</v>
      </c>
      <c r="G675" s="70" t="s">
        <v>22</v>
      </c>
      <c r="H675" s="70" t="s">
        <v>847</v>
      </c>
      <c r="I675" s="70" t="s">
        <v>773</v>
      </c>
      <c r="J675" s="70" t="s">
        <v>2085</v>
      </c>
      <c r="K675" s="70" t="s">
        <v>22</v>
      </c>
      <c r="L675" s="70" t="s">
        <v>595</v>
      </c>
      <c r="M675" s="6" t="s">
        <v>484</v>
      </c>
      <c r="N675" s="26">
        <v>264</v>
      </c>
      <c r="O675" s="57">
        <v>13</v>
      </c>
      <c r="P675" s="62">
        <f t="shared" si="11"/>
        <v>3432</v>
      </c>
      <c r="Q675" s="6" t="s">
        <v>397</v>
      </c>
      <c r="R675" s="6" t="s">
        <v>770</v>
      </c>
      <c r="S675" s="38">
        <v>431000000</v>
      </c>
      <c r="T675" s="26">
        <v>0</v>
      </c>
    </row>
    <row r="676" spans="2:20" ht="51">
      <c r="B676" s="6">
        <v>660</v>
      </c>
      <c r="C676" s="36" t="s">
        <v>714</v>
      </c>
      <c r="D676" s="37" t="s">
        <v>715</v>
      </c>
      <c r="E676" s="6" t="s">
        <v>447</v>
      </c>
      <c r="F676" s="70" t="s">
        <v>448</v>
      </c>
      <c r="G676" s="70" t="s">
        <v>448</v>
      </c>
      <c r="H676" s="70" t="s">
        <v>449</v>
      </c>
      <c r="I676" s="70" t="s">
        <v>450</v>
      </c>
      <c r="J676" s="70" t="s">
        <v>233</v>
      </c>
      <c r="K676" s="70" t="s">
        <v>233</v>
      </c>
      <c r="L676" s="70" t="s">
        <v>595</v>
      </c>
      <c r="M676" s="38" t="s">
        <v>648</v>
      </c>
      <c r="N676" s="26">
        <v>66</v>
      </c>
      <c r="O676" s="57">
        <v>446</v>
      </c>
      <c r="P676" s="62">
        <f t="shared" si="11"/>
        <v>29436</v>
      </c>
      <c r="Q676" s="6" t="s">
        <v>397</v>
      </c>
      <c r="R676" s="6" t="s">
        <v>770</v>
      </c>
      <c r="S676" s="38">
        <v>431000000</v>
      </c>
      <c r="T676" s="26">
        <v>0</v>
      </c>
    </row>
    <row r="677" spans="2:20" ht="51">
      <c r="B677" s="6">
        <v>661</v>
      </c>
      <c r="C677" s="36" t="s">
        <v>714</v>
      </c>
      <c r="D677" s="37" t="s">
        <v>715</v>
      </c>
      <c r="E677" s="11" t="s">
        <v>681</v>
      </c>
      <c r="F677" s="70" t="s">
        <v>2285</v>
      </c>
      <c r="G677" s="70" t="s">
        <v>23</v>
      </c>
      <c r="H677" s="70" t="s">
        <v>848</v>
      </c>
      <c r="I677" s="70" t="s">
        <v>682</v>
      </c>
      <c r="J677" s="70" t="s">
        <v>2285</v>
      </c>
      <c r="K677" s="70" t="s">
        <v>23</v>
      </c>
      <c r="L677" s="70" t="s">
        <v>595</v>
      </c>
      <c r="M677" s="38" t="s">
        <v>648</v>
      </c>
      <c r="N677" s="26">
        <v>66</v>
      </c>
      <c r="O677" s="57">
        <v>268</v>
      </c>
      <c r="P677" s="62">
        <f t="shared" si="11"/>
        <v>17688</v>
      </c>
      <c r="Q677" s="6" t="s">
        <v>397</v>
      </c>
      <c r="R677" s="6" t="s">
        <v>770</v>
      </c>
      <c r="S677" s="38">
        <v>431000000</v>
      </c>
      <c r="T677" s="26">
        <v>0</v>
      </c>
    </row>
    <row r="678" spans="2:20" ht="51">
      <c r="B678" s="6">
        <v>662</v>
      </c>
      <c r="C678" s="36" t="s">
        <v>714</v>
      </c>
      <c r="D678" s="37" t="s">
        <v>715</v>
      </c>
      <c r="E678" s="6" t="s">
        <v>451</v>
      </c>
      <c r="F678" s="70" t="s">
        <v>24</v>
      </c>
      <c r="G678" s="70" t="s">
        <v>24</v>
      </c>
      <c r="H678" s="70" t="s">
        <v>2289</v>
      </c>
      <c r="I678" s="70" t="s">
        <v>452</v>
      </c>
      <c r="J678" s="70" t="s">
        <v>24</v>
      </c>
      <c r="K678" s="70" t="s">
        <v>24</v>
      </c>
      <c r="L678" s="70" t="s">
        <v>595</v>
      </c>
      <c r="M678" s="38" t="s">
        <v>648</v>
      </c>
      <c r="N678" s="26">
        <v>11</v>
      </c>
      <c r="O678" s="57">
        <v>223</v>
      </c>
      <c r="P678" s="62">
        <f t="shared" si="11"/>
        <v>2453</v>
      </c>
      <c r="Q678" s="6" t="s">
        <v>397</v>
      </c>
      <c r="R678" s="6" t="s">
        <v>770</v>
      </c>
      <c r="S678" s="38">
        <v>431000000</v>
      </c>
      <c r="T678" s="26">
        <v>0</v>
      </c>
    </row>
    <row r="679" spans="2:20" ht="51">
      <c r="B679" s="6">
        <v>663</v>
      </c>
      <c r="C679" s="36" t="s">
        <v>714</v>
      </c>
      <c r="D679" s="37" t="s">
        <v>715</v>
      </c>
      <c r="E679" s="6" t="s">
        <v>453</v>
      </c>
      <c r="F679" s="70" t="s">
        <v>2287</v>
      </c>
      <c r="G679" s="70" t="s">
        <v>454</v>
      </c>
      <c r="H679" s="70" t="s">
        <v>2290</v>
      </c>
      <c r="I679" s="70" t="s">
        <v>455</v>
      </c>
      <c r="J679" s="70" t="s">
        <v>2287</v>
      </c>
      <c r="K679" s="70" t="s">
        <v>234</v>
      </c>
      <c r="L679" s="70" t="s">
        <v>595</v>
      </c>
      <c r="M679" s="6" t="s">
        <v>484</v>
      </c>
      <c r="N679" s="26">
        <v>66</v>
      </c>
      <c r="O679" s="57">
        <v>223</v>
      </c>
      <c r="P679" s="62">
        <f t="shared" si="11"/>
        <v>14718</v>
      </c>
      <c r="Q679" s="6" t="s">
        <v>397</v>
      </c>
      <c r="R679" s="6" t="s">
        <v>770</v>
      </c>
      <c r="S679" s="38">
        <v>431000000</v>
      </c>
      <c r="T679" s="26">
        <v>0</v>
      </c>
    </row>
    <row r="680" spans="2:20" ht="51">
      <c r="B680" s="6">
        <v>664</v>
      </c>
      <c r="C680" s="36" t="s">
        <v>714</v>
      </c>
      <c r="D680" s="37" t="s">
        <v>715</v>
      </c>
      <c r="E680" s="6" t="s">
        <v>456</v>
      </c>
      <c r="F680" s="70" t="s">
        <v>457</v>
      </c>
      <c r="G680" s="70" t="s">
        <v>458</v>
      </c>
      <c r="H680" s="70" t="s">
        <v>459</v>
      </c>
      <c r="I680" s="70" t="s">
        <v>460</v>
      </c>
      <c r="J680" s="70" t="s">
        <v>457</v>
      </c>
      <c r="K680" s="70" t="s">
        <v>235</v>
      </c>
      <c r="L680" s="70" t="s">
        <v>595</v>
      </c>
      <c r="M680" s="6" t="s">
        <v>484</v>
      </c>
      <c r="N680" s="26">
        <v>66</v>
      </c>
      <c r="O680" s="57">
        <v>179</v>
      </c>
      <c r="P680" s="62">
        <f t="shared" si="11"/>
        <v>11814</v>
      </c>
      <c r="Q680" s="6" t="s">
        <v>397</v>
      </c>
      <c r="R680" s="6" t="s">
        <v>770</v>
      </c>
      <c r="S680" s="38">
        <v>431000000</v>
      </c>
      <c r="T680" s="26">
        <v>0</v>
      </c>
    </row>
    <row r="681" spans="2:20" ht="51">
      <c r="B681" s="6">
        <v>665</v>
      </c>
      <c r="C681" s="36" t="s">
        <v>714</v>
      </c>
      <c r="D681" s="37" t="s">
        <v>715</v>
      </c>
      <c r="E681" s="6" t="s">
        <v>461</v>
      </c>
      <c r="F681" s="70" t="s">
        <v>17</v>
      </c>
      <c r="G681" s="70" t="s">
        <v>17</v>
      </c>
      <c r="H681" s="70" t="s">
        <v>2298</v>
      </c>
      <c r="I681" s="70" t="s">
        <v>2299</v>
      </c>
      <c r="J681" s="70" t="s">
        <v>17</v>
      </c>
      <c r="K681" s="70" t="s">
        <v>17</v>
      </c>
      <c r="L681" s="70" t="s">
        <v>595</v>
      </c>
      <c r="M681" s="38" t="s">
        <v>648</v>
      </c>
      <c r="N681" s="26">
        <v>22</v>
      </c>
      <c r="O681" s="57">
        <v>714</v>
      </c>
      <c r="P681" s="62">
        <f t="shared" si="11"/>
        <v>15708</v>
      </c>
      <c r="Q681" s="6" t="s">
        <v>397</v>
      </c>
      <c r="R681" s="6" t="s">
        <v>770</v>
      </c>
      <c r="S681" s="38">
        <v>431000000</v>
      </c>
      <c r="T681" s="26">
        <v>0</v>
      </c>
    </row>
    <row r="682" spans="2:20" ht="51">
      <c r="B682" s="6">
        <v>666</v>
      </c>
      <c r="C682" s="36" t="s">
        <v>714</v>
      </c>
      <c r="D682" s="37" t="s">
        <v>715</v>
      </c>
      <c r="E682" s="12" t="s">
        <v>463</v>
      </c>
      <c r="F682" s="70" t="s">
        <v>1697</v>
      </c>
      <c r="G682" s="70" t="s">
        <v>464</v>
      </c>
      <c r="H682" s="70" t="s">
        <v>2223</v>
      </c>
      <c r="I682" s="70" t="s">
        <v>2224</v>
      </c>
      <c r="J682" s="70" t="s">
        <v>236</v>
      </c>
      <c r="K682" s="70" t="s">
        <v>236</v>
      </c>
      <c r="L682" s="70" t="s">
        <v>595</v>
      </c>
      <c r="M682" s="38" t="s">
        <v>648</v>
      </c>
      <c r="N682" s="26">
        <v>44</v>
      </c>
      <c r="O682" s="57">
        <v>161</v>
      </c>
      <c r="P682" s="62">
        <f t="shared" si="11"/>
        <v>7084</v>
      </c>
      <c r="Q682" s="6" t="s">
        <v>397</v>
      </c>
      <c r="R682" s="6" t="s">
        <v>770</v>
      </c>
      <c r="S682" s="38">
        <v>431000000</v>
      </c>
      <c r="T682" s="26">
        <v>0</v>
      </c>
    </row>
    <row r="683" spans="2:20" ht="51">
      <c r="B683" s="6">
        <v>667</v>
      </c>
      <c r="C683" s="16" t="s">
        <v>714</v>
      </c>
      <c r="D683" s="37" t="s">
        <v>715</v>
      </c>
      <c r="E683" s="6" t="s">
        <v>466</v>
      </c>
      <c r="F683" s="70" t="s">
        <v>467</v>
      </c>
      <c r="G683" s="70" t="s">
        <v>467</v>
      </c>
      <c r="H683" s="70" t="s">
        <v>468</v>
      </c>
      <c r="I683" s="70" t="s">
        <v>469</v>
      </c>
      <c r="J683" s="70" t="s">
        <v>470</v>
      </c>
      <c r="K683" s="70" t="s">
        <v>467</v>
      </c>
      <c r="L683" s="70" t="s">
        <v>595</v>
      </c>
      <c r="M683" s="38" t="s">
        <v>648</v>
      </c>
      <c r="N683" s="26">
        <v>44</v>
      </c>
      <c r="O683" s="57">
        <v>161</v>
      </c>
      <c r="P683" s="62">
        <f t="shared" si="11"/>
        <v>7084</v>
      </c>
      <c r="Q683" s="6" t="s">
        <v>397</v>
      </c>
      <c r="R683" s="6" t="s">
        <v>770</v>
      </c>
      <c r="S683" s="38">
        <v>431000000</v>
      </c>
      <c r="T683" s="26">
        <v>0</v>
      </c>
    </row>
    <row r="684" spans="2:20" ht="51">
      <c r="B684" s="6">
        <v>668</v>
      </c>
      <c r="C684" s="36" t="s">
        <v>714</v>
      </c>
      <c r="D684" s="37" t="s">
        <v>715</v>
      </c>
      <c r="E684" s="11" t="s">
        <v>688</v>
      </c>
      <c r="F684" s="70" t="s">
        <v>470</v>
      </c>
      <c r="G684" s="70" t="s">
        <v>25</v>
      </c>
      <c r="H684" s="70" t="s">
        <v>2199</v>
      </c>
      <c r="I684" s="70" t="s">
        <v>689</v>
      </c>
      <c r="J684" s="70" t="s">
        <v>470</v>
      </c>
      <c r="K684" s="70" t="s">
        <v>25</v>
      </c>
      <c r="L684" s="70" t="s">
        <v>595</v>
      </c>
      <c r="M684" s="38" t="s">
        <v>648</v>
      </c>
      <c r="N684" s="26">
        <v>44</v>
      </c>
      <c r="O684" s="57">
        <v>45</v>
      </c>
      <c r="P684" s="62">
        <f t="shared" si="11"/>
        <v>1980</v>
      </c>
      <c r="Q684" s="6" t="s">
        <v>397</v>
      </c>
      <c r="R684" s="6" t="s">
        <v>770</v>
      </c>
      <c r="S684" s="38">
        <v>431000000</v>
      </c>
      <c r="T684" s="26">
        <v>0</v>
      </c>
    </row>
    <row r="685" spans="2:20" ht="51">
      <c r="B685" s="6">
        <v>669</v>
      </c>
      <c r="C685" s="16" t="s">
        <v>714</v>
      </c>
      <c r="D685" s="37" t="s">
        <v>715</v>
      </c>
      <c r="E685" s="6" t="s">
        <v>472</v>
      </c>
      <c r="F685" s="70" t="s">
        <v>2313</v>
      </c>
      <c r="G685" s="70" t="s">
        <v>26</v>
      </c>
      <c r="H685" s="70" t="s">
        <v>1726</v>
      </c>
      <c r="I685" s="70" t="s">
        <v>473</v>
      </c>
      <c r="J685" s="70" t="s">
        <v>2313</v>
      </c>
      <c r="K685" s="70" t="s">
        <v>26</v>
      </c>
      <c r="L685" s="70" t="s">
        <v>595</v>
      </c>
      <c r="M685" s="12" t="s">
        <v>913</v>
      </c>
      <c r="N685" s="26">
        <v>22</v>
      </c>
      <c r="O685" s="57">
        <v>134</v>
      </c>
      <c r="P685" s="62">
        <f t="shared" si="11"/>
        <v>2948</v>
      </c>
      <c r="Q685" s="6" t="s">
        <v>397</v>
      </c>
      <c r="R685" s="6" t="s">
        <v>770</v>
      </c>
      <c r="S685" s="38">
        <v>431000000</v>
      </c>
      <c r="T685" s="26">
        <v>0</v>
      </c>
    </row>
    <row r="686" spans="2:20" ht="114.75">
      <c r="B686" s="6">
        <v>670</v>
      </c>
      <c r="C686" s="36" t="s">
        <v>714</v>
      </c>
      <c r="D686" s="37" t="s">
        <v>715</v>
      </c>
      <c r="E686" s="6" t="s">
        <v>474</v>
      </c>
      <c r="F686" s="70" t="s">
        <v>27</v>
      </c>
      <c r="G686" s="70" t="s">
        <v>27</v>
      </c>
      <c r="H686" s="70" t="s">
        <v>475</v>
      </c>
      <c r="I686" s="70" t="s">
        <v>476</v>
      </c>
      <c r="J686" s="70" t="s">
        <v>27</v>
      </c>
      <c r="K686" s="70" t="s">
        <v>27</v>
      </c>
      <c r="L686" s="70" t="s">
        <v>595</v>
      </c>
      <c r="M686" s="38" t="s">
        <v>648</v>
      </c>
      <c r="N686" s="26">
        <v>2</v>
      </c>
      <c r="O686" s="57">
        <v>2679</v>
      </c>
      <c r="P686" s="62">
        <f t="shared" si="11"/>
        <v>5358</v>
      </c>
      <c r="Q686" s="6" t="s">
        <v>397</v>
      </c>
      <c r="R686" s="6" t="s">
        <v>770</v>
      </c>
      <c r="S686" s="38">
        <v>431000000</v>
      </c>
      <c r="T686" s="26">
        <v>0</v>
      </c>
    </row>
    <row r="687" spans="2:20" ht="51">
      <c r="B687" s="6">
        <v>671</v>
      </c>
      <c r="C687" s="36" t="s">
        <v>714</v>
      </c>
      <c r="D687" s="37" t="s">
        <v>715</v>
      </c>
      <c r="E687" s="12" t="s">
        <v>477</v>
      </c>
      <c r="F687" s="70" t="s">
        <v>850</v>
      </c>
      <c r="G687" s="70" t="s">
        <v>478</v>
      </c>
      <c r="H687" s="70" t="s">
        <v>479</v>
      </c>
      <c r="I687" s="70" t="s">
        <v>479</v>
      </c>
      <c r="J687" s="70" t="s">
        <v>850</v>
      </c>
      <c r="K687" s="70" t="s">
        <v>237</v>
      </c>
      <c r="L687" s="70" t="s">
        <v>595</v>
      </c>
      <c r="M687" s="38" t="s">
        <v>648</v>
      </c>
      <c r="N687" s="26">
        <v>264</v>
      </c>
      <c r="O687" s="57">
        <v>45</v>
      </c>
      <c r="P687" s="62">
        <f t="shared" si="11"/>
        <v>11880</v>
      </c>
      <c r="Q687" s="6" t="s">
        <v>397</v>
      </c>
      <c r="R687" s="6" t="s">
        <v>770</v>
      </c>
      <c r="S687" s="38">
        <v>431000000</v>
      </c>
      <c r="T687" s="26">
        <v>0</v>
      </c>
    </row>
    <row r="688" spans="2:20" ht="51">
      <c r="B688" s="6">
        <v>672</v>
      </c>
      <c r="C688" s="36" t="s">
        <v>714</v>
      </c>
      <c r="D688" s="37" t="s">
        <v>715</v>
      </c>
      <c r="E688" s="6" t="s">
        <v>480</v>
      </c>
      <c r="F688" s="70" t="s">
        <v>481</v>
      </c>
      <c r="G688" s="70" t="s">
        <v>28</v>
      </c>
      <c r="H688" s="70" t="s">
        <v>482</v>
      </c>
      <c r="I688" s="70" t="s">
        <v>483</v>
      </c>
      <c r="J688" s="70" t="s">
        <v>481</v>
      </c>
      <c r="K688" s="70" t="s">
        <v>28</v>
      </c>
      <c r="L688" s="70" t="s">
        <v>595</v>
      </c>
      <c r="M688" s="38" t="s">
        <v>648</v>
      </c>
      <c r="N688" s="26">
        <v>11</v>
      </c>
      <c r="O688" s="57">
        <v>759</v>
      </c>
      <c r="P688" s="62">
        <f t="shared" si="11"/>
        <v>8349</v>
      </c>
      <c r="Q688" s="6" t="s">
        <v>397</v>
      </c>
      <c r="R688" s="6" t="s">
        <v>770</v>
      </c>
      <c r="S688" s="38">
        <v>431000000</v>
      </c>
      <c r="T688" s="26">
        <v>0</v>
      </c>
    </row>
    <row r="689" spans="2:20" ht="51">
      <c r="B689" s="6">
        <v>673</v>
      </c>
      <c r="C689" s="36" t="s">
        <v>714</v>
      </c>
      <c r="D689" s="37" t="s">
        <v>715</v>
      </c>
      <c r="E689" s="11" t="s">
        <v>694</v>
      </c>
      <c r="F689" s="70" t="s">
        <v>2191</v>
      </c>
      <c r="G689" s="70" t="s">
        <v>29</v>
      </c>
      <c r="H689" s="70" t="s">
        <v>851</v>
      </c>
      <c r="I689" s="70" t="s">
        <v>776</v>
      </c>
      <c r="J689" s="70" t="s">
        <v>2191</v>
      </c>
      <c r="K689" s="70" t="s">
        <v>29</v>
      </c>
      <c r="L689" s="70" t="s">
        <v>595</v>
      </c>
      <c r="M689" s="6" t="s">
        <v>484</v>
      </c>
      <c r="N689" s="26">
        <v>132</v>
      </c>
      <c r="O689" s="57">
        <v>27</v>
      </c>
      <c r="P689" s="62">
        <f t="shared" si="11"/>
        <v>3564</v>
      </c>
      <c r="Q689" s="6" t="s">
        <v>397</v>
      </c>
      <c r="R689" s="6" t="s">
        <v>770</v>
      </c>
      <c r="S689" s="38">
        <v>431000000</v>
      </c>
      <c r="T689" s="26">
        <v>0</v>
      </c>
    </row>
    <row r="690" spans="2:20" ht="51">
      <c r="B690" s="6">
        <v>674</v>
      </c>
      <c r="C690" s="36" t="s">
        <v>714</v>
      </c>
      <c r="D690" s="37" t="s">
        <v>715</v>
      </c>
      <c r="E690" s="38" t="s">
        <v>695</v>
      </c>
      <c r="F690" s="70" t="s">
        <v>119</v>
      </c>
      <c r="G690" s="70" t="s">
        <v>119</v>
      </c>
      <c r="H690" s="70" t="s">
        <v>852</v>
      </c>
      <c r="I690" s="70" t="s">
        <v>696</v>
      </c>
      <c r="J690" s="70" t="s">
        <v>119</v>
      </c>
      <c r="K690" s="70" t="s">
        <v>119</v>
      </c>
      <c r="L690" s="70" t="s">
        <v>595</v>
      </c>
      <c r="M690" s="38" t="s">
        <v>648</v>
      </c>
      <c r="N690" s="26">
        <v>66</v>
      </c>
      <c r="O690" s="57">
        <v>103</v>
      </c>
      <c r="P690" s="62">
        <f t="shared" si="11"/>
        <v>6798</v>
      </c>
      <c r="Q690" s="6" t="s">
        <v>397</v>
      </c>
      <c r="R690" s="6" t="s">
        <v>770</v>
      </c>
      <c r="S690" s="38">
        <v>431000000</v>
      </c>
      <c r="T690" s="26">
        <v>0</v>
      </c>
    </row>
    <row r="691" spans="2:20" ht="53.25" customHeight="1">
      <c r="B691" s="6">
        <v>675</v>
      </c>
      <c r="C691" s="36" t="s">
        <v>714</v>
      </c>
      <c r="D691" s="37" t="s">
        <v>715</v>
      </c>
      <c r="E691" s="40" t="s">
        <v>426</v>
      </c>
      <c r="F691" s="70" t="s">
        <v>427</v>
      </c>
      <c r="G691" s="70" t="s">
        <v>428</v>
      </c>
      <c r="H691" s="70" t="s">
        <v>841</v>
      </c>
      <c r="I691" s="70" t="s">
        <v>429</v>
      </c>
      <c r="J691" s="70" t="s">
        <v>2312</v>
      </c>
      <c r="K691" s="70" t="s">
        <v>231</v>
      </c>
      <c r="L691" s="70" t="s">
        <v>595</v>
      </c>
      <c r="M691" s="12" t="s">
        <v>913</v>
      </c>
      <c r="N691" s="26">
        <v>288</v>
      </c>
      <c r="O691" s="57">
        <v>670</v>
      </c>
      <c r="P691" s="62">
        <f t="shared" si="11"/>
        <v>192960</v>
      </c>
      <c r="Q691" s="6" t="s">
        <v>519</v>
      </c>
      <c r="R691" s="15" t="s">
        <v>1479</v>
      </c>
      <c r="S691" s="38" t="s">
        <v>929</v>
      </c>
      <c r="T691" s="26">
        <v>50</v>
      </c>
    </row>
    <row r="692" spans="2:20" ht="63.75">
      <c r="B692" s="6">
        <v>676</v>
      </c>
      <c r="C692" s="36" t="s">
        <v>714</v>
      </c>
      <c r="D692" s="37" t="s">
        <v>715</v>
      </c>
      <c r="E692" s="38" t="s">
        <v>430</v>
      </c>
      <c r="F692" s="70" t="s">
        <v>842</v>
      </c>
      <c r="G692" s="70" t="s">
        <v>19</v>
      </c>
      <c r="H692" s="70" t="s">
        <v>843</v>
      </c>
      <c r="I692" s="70" t="s">
        <v>432</v>
      </c>
      <c r="J692" s="70" t="s">
        <v>842</v>
      </c>
      <c r="K692" s="70" t="s">
        <v>19</v>
      </c>
      <c r="L692" s="70" t="s">
        <v>595</v>
      </c>
      <c r="M692" s="6" t="s">
        <v>673</v>
      </c>
      <c r="N692" s="26">
        <v>24</v>
      </c>
      <c r="O692" s="57">
        <v>313</v>
      </c>
      <c r="P692" s="62">
        <f t="shared" si="11"/>
        <v>7512</v>
      </c>
      <c r="Q692" s="6" t="s">
        <v>395</v>
      </c>
      <c r="R692" s="6" t="s">
        <v>770</v>
      </c>
      <c r="S692" s="38" t="s">
        <v>929</v>
      </c>
      <c r="T692" s="26">
        <v>0</v>
      </c>
    </row>
    <row r="693" spans="2:20" ht="51">
      <c r="B693" s="6">
        <v>677</v>
      </c>
      <c r="C693" s="36" t="s">
        <v>714</v>
      </c>
      <c r="D693" s="37" t="s">
        <v>715</v>
      </c>
      <c r="E693" s="11" t="s">
        <v>433</v>
      </c>
      <c r="F693" s="70" t="s">
        <v>844</v>
      </c>
      <c r="G693" s="70" t="s">
        <v>434</v>
      </c>
      <c r="H693" s="70" t="s">
        <v>845</v>
      </c>
      <c r="I693" s="70" t="s">
        <v>435</v>
      </c>
      <c r="J693" s="70" t="s">
        <v>844</v>
      </c>
      <c r="K693" s="70" t="s">
        <v>232</v>
      </c>
      <c r="L693" s="70" t="s">
        <v>595</v>
      </c>
      <c r="M693" s="12" t="s">
        <v>913</v>
      </c>
      <c r="N693" s="26">
        <v>48</v>
      </c>
      <c r="O693" s="57">
        <v>223</v>
      </c>
      <c r="P693" s="62">
        <f t="shared" si="11"/>
        <v>10704</v>
      </c>
      <c r="Q693" s="6" t="s">
        <v>395</v>
      </c>
      <c r="R693" s="6" t="s">
        <v>770</v>
      </c>
      <c r="S693" s="38" t="s">
        <v>929</v>
      </c>
      <c r="T693" s="26">
        <v>0</v>
      </c>
    </row>
    <row r="694" spans="2:20" ht="51">
      <c r="B694" s="6">
        <v>678</v>
      </c>
      <c r="C694" s="36" t="s">
        <v>714</v>
      </c>
      <c r="D694" s="37" t="s">
        <v>715</v>
      </c>
      <c r="E694" s="12" t="s">
        <v>898</v>
      </c>
      <c r="F694" s="70" t="s">
        <v>771</v>
      </c>
      <c r="G694" s="70" t="s">
        <v>18</v>
      </c>
      <c r="H694" s="70" t="s">
        <v>2188</v>
      </c>
      <c r="I694" s="70" t="s">
        <v>674</v>
      </c>
      <c r="J694" s="70" t="s">
        <v>771</v>
      </c>
      <c r="K694" s="70" t="s">
        <v>18</v>
      </c>
      <c r="L694" s="70" t="s">
        <v>595</v>
      </c>
      <c r="M694" s="6" t="s">
        <v>484</v>
      </c>
      <c r="N694" s="26">
        <v>48</v>
      </c>
      <c r="O694" s="57">
        <v>179</v>
      </c>
      <c r="P694" s="62">
        <f t="shared" si="11"/>
        <v>8592</v>
      </c>
      <c r="Q694" s="6" t="s">
        <v>395</v>
      </c>
      <c r="R694" s="6" t="s">
        <v>770</v>
      </c>
      <c r="S694" s="38" t="s">
        <v>929</v>
      </c>
      <c r="T694" s="26">
        <v>0</v>
      </c>
    </row>
    <row r="695" spans="2:20" ht="51">
      <c r="B695" s="6">
        <v>679</v>
      </c>
      <c r="C695" s="16" t="s">
        <v>714</v>
      </c>
      <c r="D695" s="37" t="s">
        <v>715</v>
      </c>
      <c r="E695" s="40" t="s">
        <v>930</v>
      </c>
      <c r="F695" s="70" t="s">
        <v>20</v>
      </c>
      <c r="G695" s="70" t="s">
        <v>20</v>
      </c>
      <c r="H695" s="70" t="s">
        <v>847</v>
      </c>
      <c r="I695" s="70" t="s">
        <v>471</v>
      </c>
      <c r="J695" s="70" t="s">
        <v>20</v>
      </c>
      <c r="K695" s="70" t="s">
        <v>20</v>
      </c>
      <c r="L695" s="70" t="s">
        <v>595</v>
      </c>
      <c r="M695" s="38" t="s">
        <v>648</v>
      </c>
      <c r="N695" s="26">
        <v>48</v>
      </c>
      <c r="O695" s="57">
        <v>107</v>
      </c>
      <c r="P695" s="62">
        <f t="shared" si="11"/>
        <v>5136</v>
      </c>
      <c r="Q695" s="6" t="s">
        <v>395</v>
      </c>
      <c r="R695" s="6" t="s">
        <v>770</v>
      </c>
      <c r="S695" s="38" t="s">
        <v>929</v>
      </c>
      <c r="T695" s="26">
        <v>0</v>
      </c>
    </row>
    <row r="696" spans="2:20" ht="51">
      <c r="B696" s="6">
        <v>680</v>
      </c>
      <c r="C696" s="36" t="s">
        <v>714</v>
      </c>
      <c r="D696" s="37" t="s">
        <v>715</v>
      </c>
      <c r="E696" s="40" t="s">
        <v>931</v>
      </c>
      <c r="F696" s="70" t="s">
        <v>21</v>
      </c>
      <c r="G696" s="70" t="s">
        <v>21</v>
      </c>
      <c r="H696" s="70" t="s">
        <v>2254</v>
      </c>
      <c r="I696" s="70" t="s">
        <v>471</v>
      </c>
      <c r="J696" s="70" t="s">
        <v>21</v>
      </c>
      <c r="K696" s="70" t="s">
        <v>21</v>
      </c>
      <c r="L696" s="70" t="s">
        <v>595</v>
      </c>
      <c r="M696" s="38" t="s">
        <v>648</v>
      </c>
      <c r="N696" s="26">
        <v>12</v>
      </c>
      <c r="O696" s="57">
        <v>1339</v>
      </c>
      <c r="P696" s="62">
        <f t="shared" si="11"/>
        <v>16068</v>
      </c>
      <c r="Q696" s="6" t="s">
        <v>395</v>
      </c>
      <c r="R696" s="6" t="s">
        <v>770</v>
      </c>
      <c r="S696" s="38" t="s">
        <v>929</v>
      </c>
      <c r="T696" s="26">
        <v>0</v>
      </c>
    </row>
    <row r="697" spans="2:20" ht="63.75">
      <c r="B697" s="6">
        <v>681</v>
      </c>
      <c r="C697" s="16" t="s">
        <v>714</v>
      </c>
      <c r="D697" s="37" t="s">
        <v>715</v>
      </c>
      <c r="E697" s="11" t="s">
        <v>679</v>
      </c>
      <c r="F697" s="70" t="s">
        <v>2085</v>
      </c>
      <c r="G697" s="70" t="s">
        <v>22</v>
      </c>
      <c r="H697" s="70" t="s">
        <v>847</v>
      </c>
      <c r="I697" s="70" t="s">
        <v>773</v>
      </c>
      <c r="J697" s="70" t="s">
        <v>2085</v>
      </c>
      <c r="K697" s="70" t="s">
        <v>22</v>
      </c>
      <c r="L697" s="70" t="s">
        <v>595</v>
      </c>
      <c r="M697" s="6" t="s">
        <v>484</v>
      </c>
      <c r="N697" s="26">
        <v>288</v>
      </c>
      <c r="O697" s="57">
        <v>13</v>
      </c>
      <c r="P697" s="62">
        <f t="shared" si="11"/>
        <v>3744</v>
      </c>
      <c r="Q697" s="6" t="s">
        <v>395</v>
      </c>
      <c r="R697" s="6" t="s">
        <v>770</v>
      </c>
      <c r="S697" s="38" t="s">
        <v>929</v>
      </c>
      <c r="T697" s="26">
        <v>0</v>
      </c>
    </row>
    <row r="698" spans="2:20" ht="51">
      <c r="B698" s="6">
        <v>682</v>
      </c>
      <c r="C698" s="36" t="s">
        <v>714</v>
      </c>
      <c r="D698" s="37" t="s">
        <v>715</v>
      </c>
      <c r="E698" s="40" t="s">
        <v>932</v>
      </c>
      <c r="F698" s="70" t="s">
        <v>448</v>
      </c>
      <c r="G698" s="70" t="s">
        <v>448</v>
      </c>
      <c r="H698" s="70" t="s">
        <v>449</v>
      </c>
      <c r="I698" s="70" t="s">
        <v>450</v>
      </c>
      <c r="J698" s="70" t="s">
        <v>233</v>
      </c>
      <c r="K698" s="70" t="s">
        <v>233</v>
      </c>
      <c r="L698" s="70" t="s">
        <v>595</v>
      </c>
      <c r="M698" s="38" t="s">
        <v>648</v>
      </c>
      <c r="N698" s="26">
        <v>72</v>
      </c>
      <c r="O698" s="57">
        <v>446</v>
      </c>
      <c r="P698" s="62">
        <f t="shared" si="11"/>
        <v>32112</v>
      </c>
      <c r="Q698" s="6" t="s">
        <v>395</v>
      </c>
      <c r="R698" s="6" t="s">
        <v>770</v>
      </c>
      <c r="S698" s="38" t="s">
        <v>929</v>
      </c>
      <c r="T698" s="26">
        <v>0</v>
      </c>
    </row>
    <row r="699" spans="2:20" ht="51">
      <c r="B699" s="6">
        <v>683</v>
      </c>
      <c r="C699" s="36" t="s">
        <v>714</v>
      </c>
      <c r="D699" s="37" t="s">
        <v>715</v>
      </c>
      <c r="E699" s="11" t="s">
        <v>681</v>
      </c>
      <c r="F699" s="70" t="s">
        <v>2285</v>
      </c>
      <c r="G699" s="70" t="s">
        <v>23</v>
      </c>
      <c r="H699" s="70" t="s">
        <v>848</v>
      </c>
      <c r="I699" s="70" t="s">
        <v>682</v>
      </c>
      <c r="J699" s="70" t="s">
        <v>2285</v>
      </c>
      <c r="K699" s="70" t="s">
        <v>23</v>
      </c>
      <c r="L699" s="70" t="s">
        <v>595</v>
      </c>
      <c r="M699" s="38" t="s">
        <v>648</v>
      </c>
      <c r="N699" s="26">
        <v>72</v>
      </c>
      <c r="O699" s="57">
        <v>268</v>
      </c>
      <c r="P699" s="62">
        <f t="shared" si="11"/>
        <v>19296</v>
      </c>
      <c r="Q699" s="6" t="s">
        <v>395</v>
      </c>
      <c r="R699" s="6" t="s">
        <v>770</v>
      </c>
      <c r="S699" s="38" t="s">
        <v>929</v>
      </c>
      <c r="T699" s="26">
        <v>0</v>
      </c>
    </row>
    <row r="700" spans="2:20" ht="51">
      <c r="B700" s="6">
        <v>684</v>
      </c>
      <c r="C700" s="36" t="s">
        <v>714</v>
      </c>
      <c r="D700" s="37" t="s">
        <v>715</v>
      </c>
      <c r="E700" s="6" t="s">
        <v>451</v>
      </c>
      <c r="F700" s="70" t="s">
        <v>24</v>
      </c>
      <c r="G700" s="70" t="s">
        <v>24</v>
      </c>
      <c r="H700" s="70" t="s">
        <v>2289</v>
      </c>
      <c r="I700" s="70" t="s">
        <v>452</v>
      </c>
      <c r="J700" s="70" t="s">
        <v>24</v>
      </c>
      <c r="K700" s="70" t="s">
        <v>24</v>
      </c>
      <c r="L700" s="70" t="s">
        <v>595</v>
      </c>
      <c r="M700" s="38" t="s">
        <v>648</v>
      </c>
      <c r="N700" s="26">
        <v>12</v>
      </c>
      <c r="O700" s="57">
        <v>223</v>
      </c>
      <c r="P700" s="62">
        <f t="shared" si="11"/>
        <v>2676</v>
      </c>
      <c r="Q700" s="6" t="s">
        <v>395</v>
      </c>
      <c r="R700" s="6" t="s">
        <v>770</v>
      </c>
      <c r="S700" s="38" t="s">
        <v>929</v>
      </c>
      <c r="T700" s="26">
        <v>0</v>
      </c>
    </row>
    <row r="701" spans="2:20" ht="51">
      <c r="B701" s="6">
        <v>685</v>
      </c>
      <c r="C701" s="36" t="s">
        <v>714</v>
      </c>
      <c r="D701" s="37" t="s">
        <v>715</v>
      </c>
      <c r="E701" s="40" t="s">
        <v>933</v>
      </c>
      <c r="F701" s="70" t="s">
        <v>2287</v>
      </c>
      <c r="G701" s="70" t="s">
        <v>454</v>
      </c>
      <c r="H701" s="70" t="s">
        <v>2292</v>
      </c>
      <c r="I701" s="70" t="s">
        <v>934</v>
      </c>
      <c r="J701" s="70" t="s">
        <v>2287</v>
      </c>
      <c r="K701" s="70" t="s">
        <v>234</v>
      </c>
      <c r="L701" s="70" t="s">
        <v>595</v>
      </c>
      <c r="M701" s="6" t="s">
        <v>484</v>
      </c>
      <c r="N701" s="26">
        <v>72</v>
      </c>
      <c r="O701" s="57">
        <v>223</v>
      </c>
      <c r="P701" s="62">
        <f t="shared" si="11"/>
        <v>16056</v>
      </c>
      <c r="Q701" s="6" t="s">
        <v>395</v>
      </c>
      <c r="R701" s="6" t="s">
        <v>770</v>
      </c>
      <c r="S701" s="38" t="s">
        <v>929</v>
      </c>
      <c r="T701" s="26">
        <v>0</v>
      </c>
    </row>
    <row r="702" spans="2:20" ht="51">
      <c r="B702" s="6">
        <v>686</v>
      </c>
      <c r="C702" s="36" t="s">
        <v>714</v>
      </c>
      <c r="D702" s="37" t="s">
        <v>715</v>
      </c>
      <c r="E702" s="6" t="s">
        <v>456</v>
      </c>
      <c r="F702" s="70" t="s">
        <v>457</v>
      </c>
      <c r="G702" s="70" t="s">
        <v>458</v>
      </c>
      <c r="H702" s="70" t="s">
        <v>459</v>
      </c>
      <c r="I702" s="70" t="s">
        <v>460</v>
      </c>
      <c r="J702" s="70" t="s">
        <v>457</v>
      </c>
      <c r="K702" s="70" t="s">
        <v>235</v>
      </c>
      <c r="L702" s="70" t="s">
        <v>595</v>
      </c>
      <c r="M702" s="6" t="s">
        <v>484</v>
      </c>
      <c r="N702" s="26">
        <v>72</v>
      </c>
      <c r="O702" s="57">
        <v>179</v>
      </c>
      <c r="P702" s="62">
        <f t="shared" si="11"/>
        <v>12888</v>
      </c>
      <c r="Q702" s="6" t="s">
        <v>395</v>
      </c>
      <c r="R702" s="6" t="s">
        <v>770</v>
      </c>
      <c r="S702" s="38" t="s">
        <v>929</v>
      </c>
      <c r="T702" s="26">
        <v>0</v>
      </c>
    </row>
    <row r="703" spans="2:20" ht="51">
      <c r="B703" s="6">
        <v>687</v>
      </c>
      <c r="C703" s="36" t="s">
        <v>714</v>
      </c>
      <c r="D703" s="37" t="s">
        <v>715</v>
      </c>
      <c r="E703" s="6" t="s">
        <v>461</v>
      </c>
      <c r="F703" s="70" t="s">
        <v>17</v>
      </c>
      <c r="G703" s="70" t="s">
        <v>17</v>
      </c>
      <c r="H703" s="70" t="s">
        <v>2298</v>
      </c>
      <c r="I703" s="70" t="s">
        <v>2299</v>
      </c>
      <c r="J703" s="70" t="s">
        <v>17</v>
      </c>
      <c r="K703" s="70" t="s">
        <v>17</v>
      </c>
      <c r="L703" s="70" t="s">
        <v>595</v>
      </c>
      <c r="M703" s="38" t="s">
        <v>648</v>
      </c>
      <c r="N703" s="26">
        <v>24</v>
      </c>
      <c r="O703" s="57">
        <v>714</v>
      </c>
      <c r="P703" s="62">
        <f t="shared" si="11"/>
        <v>17136</v>
      </c>
      <c r="Q703" s="6" t="s">
        <v>395</v>
      </c>
      <c r="R703" s="6" t="s">
        <v>770</v>
      </c>
      <c r="S703" s="38" t="s">
        <v>929</v>
      </c>
      <c r="T703" s="26">
        <v>0</v>
      </c>
    </row>
    <row r="704" spans="2:20" ht="33.75" customHeight="1">
      <c r="B704" s="6">
        <v>688</v>
      </c>
      <c r="C704" s="36" t="s">
        <v>714</v>
      </c>
      <c r="D704" s="37" t="s">
        <v>715</v>
      </c>
      <c r="E704" s="12" t="s">
        <v>463</v>
      </c>
      <c r="F704" s="70" t="s">
        <v>1697</v>
      </c>
      <c r="G704" s="70" t="s">
        <v>464</v>
      </c>
      <c r="H704" s="70" t="s">
        <v>2223</v>
      </c>
      <c r="I704" s="70" t="s">
        <v>2224</v>
      </c>
      <c r="J704" s="70" t="s">
        <v>236</v>
      </c>
      <c r="K704" s="70" t="s">
        <v>236</v>
      </c>
      <c r="L704" s="70" t="s">
        <v>595</v>
      </c>
      <c r="M704" s="38" t="s">
        <v>648</v>
      </c>
      <c r="N704" s="26">
        <v>48</v>
      </c>
      <c r="O704" s="57">
        <v>161</v>
      </c>
      <c r="P704" s="62">
        <f t="shared" si="11"/>
        <v>7728</v>
      </c>
      <c r="Q704" s="6" t="s">
        <v>395</v>
      </c>
      <c r="R704" s="6" t="s">
        <v>770</v>
      </c>
      <c r="S704" s="38" t="s">
        <v>929</v>
      </c>
      <c r="T704" s="26">
        <v>0</v>
      </c>
    </row>
    <row r="705" spans="2:20" ht="51">
      <c r="B705" s="6">
        <v>689</v>
      </c>
      <c r="C705" s="16" t="s">
        <v>714</v>
      </c>
      <c r="D705" s="37" t="s">
        <v>715</v>
      </c>
      <c r="E705" s="40" t="s">
        <v>935</v>
      </c>
      <c r="F705" s="70" t="s">
        <v>470</v>
      </c>
      <c r="G705" s="70" t="s">
        <v>467</v>
      </c>
      <c r="H705" s="70" t="s">
        <v>2279</v>
      </c>
      <c r="I705" s="70" t="s">
        <v>936</v>
      </c>
      <c r="J705" s="70" t="s">
        <v>470</v>
      </c>
      <c r="K705" s="70" t="s">
        <v>467</v>
      </c>
      <c r="L705" s="70" t="s">
        <v>595</v>
      </c>
      <c r="M705" s="38" t="s">
        <v>648</v>
      </c>
      <c r="N705" s="26">
        <v>48</v>
      </c>
      <c r="O705" s="57">
        <v>161</v>
      </c>
      <c r="P705" s="62">
        <f t="shared" si="11"/>
        <v>7728</v>
      </c>
      <c r="Q705" s="6" t="s">
        <v>395</v>
      </c>
      <c r="R705" s="6" t="s">
        <v>770</v>
      </c>
      <c r="S705" s="38" t="s">
        <v>929</v>
      </c>
      <c r="T705" s="26">
        <v>0</v>
      </c>
    </row>
    <row r="706" spans="2:20" ht="51">
      <c r="B706" s="6">
        <v>690</v>
      </c>
      <c r="C706" s="36" t="s">
        <v>714</v>
      </c>
      <c r="D706" s="37" t="s">
        <v>715</v>
      </c>
      <c r="E706" s="11" t="s">
        <v>688</v>
      </c>
      <c r="F706" s="70" t="s">
        <v>470</v>
      </c>
      <c r="G706" s="70" t="s">
        <v>25</v>
      </c>
      <c r="H706" s="70" t="s">
        <v>2199</v>
      </c>
      <c r="I706" s="70" t="s">
        <v>689</v>
      </c>
      <c r="J706" s="70" t="s">
        <v>470</v>
      </c>
      <c r="K706" s="70" t="s">
        <v>25</v>
      </c>
      <c r="L706" s="70" t="s">
        <v>595</v>
      </c>
      <c r="M706" s="38" t="s">
        <v>648</v>
      </c>
      <c r="N706" s="26">
        <v>48</v>
      </c>
      <c r="O706" s="57">
        <v>45</v>
      </c>
      <c r="P706" s="62">
        <f t="shared" si="11"/>
        <v>2160</v>
      </c>
      <c r="Q706" s="6" t="s">
        <v>395</v>
      </c>
      <c r="R706" s="6" t="s">
        <v>770</v>
      </c>
      <c r="S706" s="38" t="s">
        <v>929</v>
      </c>
      <c r="T706" s="26">
        <v>0</v>
      </c>
    </row>
    <row r="707" spans="2:20" ht="51">
      <c r="B707" s="6">
        <v>691</v>
      </c>
      <c r="C707" s="16" t="s">
        <v>714</v>
      </c>
      <c r="D707" s="37" t="s">
        <v>715</v>
      </c>
      <c r="E707" s="11" t="s">
        <v>690</v>
      </c>
      <c r="F707" s="70" t="s">
        <v>2313</v>
      </c>
      <c r="G707" s="70" t="s">
        <v>26</v>
      </c>
      <c r="H707" s="70" t="s">
        <v>2314</v>
      </c>
      <c r="I707" s="70" t="s">
        <v>691</v>
      </c>
      <c r="J707" s="70" t="s">
        <v>2313</v>
      </c>
      <c r="K707" s="70" t="s">
        <v>26</v>
      </c>
      <c r="L707" s="70" t="s">
        <v>595</v>
      </c>
      <c r="M707" s="12" t="s">
        <v>913</v>
      </c>
      <c r="N707" s="26">
        <v>24</v>
      </c>
      <c r="O707" s="57">
        <v>134</v>
      </c>
      <c r="P707" s="62">
        <f t="shared" si="11"/>
        <v>3216</v>
      </c>
      <c r="Q707" s="6" t="s">
        <v>395</v>
      </c>
      <c r="R707" s="6" t="s">
        <v>770</v>
      </c>
      <c r="S707" s="38" t="s">
        <v>929</v>
      </c>
      <c r="T707" s="26">
        <v>0</v>
      </c>
    </row>
    <row r="708" spans="2:20" ht="114.75">
      <c r="B708" s="6">
        <v>692</v>
      </c>
      <c r="C708" s="36" t="s">
        <v>714</v>
      </c>
      <c r="D708" s="37" t="s">
        <v>715</v>
      </c>
      <c r="E708" s="6" t="s">
        <v>474</v>
      </c>
      <c r="F708" s="70" t="s">
        <v>27</v>
      </c>
      <c r="G708" s="70" t="s">
        <v>27</v>
      </c>
      <c r="H708" s="70" t="s">
        <v>475</v>
      </c>
      <c r="I708" s="70" t="s">
        <v>476</v>
      </c>
      <c r="J708" s="70" t="s">
        <v>27</v>
      </c>
      <c r="K708" s="70" t="s">
        <v>27</v>
      </c>
      <c r="L708" s="70" t="s">
        <v>595</v>
      </c>
      <c r="M708" s="38" t="s">
        <v>648</v>
      </c>
      <c r="N708" s="26">
        <v>2</v>
      </c>
      <c r="O708" s="57">
        <v>2679</v>
      </c>
      <c r="P708" s="62">
        <f t="shared" si="11"/>
        <v>5358</v>
      </c>
      <c r="Q708" s="6" t="s">
        <v>395</v>
      </c>
      <c r="R708" s="6" t="s">
        <v>770</v>
      </c>
      <c r="S708" s="38" t="s">
        <v>929</v>
      </c>
      <c r="T708" s="26">
        <v>0</v>
      </c>
    </row>
    <row r="709" spans="2:20" ht="51">
      <c r="B709" s="6">
        <v>693</v>
      </c>
      <c r="C709" s="36" t="s">
        <v>714</v>
      </c>
      <c r="D709" s="37" t="s">
        <v>715</v>
      </c>
      <c r="E709" s="11" t="s">
        <v>692</v>
      </c>
      <c r="F709" s="70" t="s">
        <v>850</v>
      </c>
      <c r="G709" s="70" t="s">
        <v>850</v>
      </c>
      <c r="H709" s="70" t="s">
        <v>775</v>
      </c>
      <c r="I709" s="70" t="s">
        <v>775</v>
      </c>
      <c r="J709" s="70" t="s">
        <v>850</v>
      </c>
      <c r="K709" s="70" t="s">
        <v>237</v>
      </c>
      <c r="L709" s="70" t="s">
        <v>595</v>
      </c>
      <c r="M709" s="38" t="s">
        <v>648</v>
      </c>
      <c r="N709" s="26">
        <v>288</v>
      </c>
      <c r="O709" s="57">
        <v>45</v>
      </c>
      <c r="P709" s="62">
        <f t="shared" si="11"/>
        <v>12960</v>
      </c>
      <c r="Q709" s="6" t="s">
        <v>395</v>
      </c>
      <c r="R709" s="6" t="s">
        <v>770</v>
      </c>
      <c r="S709" s="38" t="s">
        <v>929</v>
      </c>
      <c r="T709" s="26">
        <v>0</v>
      </c>
    </row>
    <row r="710" spans="2:20" ht="51">
      <c r="B710" s="6">
        <v>694</v>
      </c>
      <c r="C710" s="36" t="s">
        <v>714</v>
      </c>
      <c r="D710" s="37" t="s">
        <v>715</v>
      </c>
      <c r="E710" s="6" t="s">
        <v>480</v>
      </c>
      <c r="F710" s="70" t="s">
        <v>481</v>
      </c>
      <c r="G710" s="70" t="s">
        <v>28</v>
      </c>
      <c r="H710" s="70" t="s">
        <v>482</v>
      </c>
      <c r="I710" s="70" t="s">
        <v>483</v>
      </c>
      <c r="J710" s="70" t="s">
        <v>481</v>
      </c>
      <c r="K710" s="70" t="s">
        <v>28</v>
      </c>
      <c r="L710" s="70" t="s">
        <v>595</v>
      </c>
      <c r="M710" s="38" t="s">
        <v>648</v>
      </c>
      <c r="N710" s="26">
        <v>12</v>
      </c>
      <c r="O710" s="57">
        <v>759</v>
      </c>
      <c r="P710" s="62">
        <f t="shared" si="11"/>
        <v>9108</v>
      </c>
      <c r="Q710" s="6" t="s">
        <v>395</v>
      </c>
      <c r="R710" s="6" t="s">
        <v>770</v>
      </c>
      <c r="S710" s="38" t="s">
        <v>929</v>
      </c>
      <c r="T710" s="26">
        <v>0</v>
      </c>
    </row>
    <row r="711" spans="2:20" ht="51">
      <c r="B711" s="6">
        <v>695</v>
      </c>
      <c r="C711" s="36" t="s">
        <v>714</v>
      </c>
      <c r="D711" s="37" t="s">
        <v>715</v>
      </c>
      <c r="E711" s="11" t="s">
        <v>694</v>
      </c>
      <c r="F711" s="70" t="s">
        <v>2191</v>
      </c>
      <c r="G711" s="70" t="s">
        <v>29</v>
      </c>
      <c r="H711" s="70" t="s">
        <v>851</v>
      </c>
      <c r="I711" s="70" t="s">
        <v>776</v>
      </c>
      <c r="J711" s="70" t="s">
        <v>2191</v>
      </c>
      <c r="K711" s="70" t="s">
        <v>29</v>
      </c>
      <c r="L711" s="70" t="s">
        <v>595</v>
      </c>
      <c r="M711" s="6" t="s">
        <v>484</v>
      </c>
      <c r="N711" s="26">
        <v>144</v>
      </c>
      <c r="O711" s="57">
        <v>27</v>
      </c>
      <c r="P711" s="62">
        <f t="shared" si="11"/>
        <v>3888</v>
      </c>
      <c r="Q711" s="6" t="s">
        <v>395</v>
      </c>
      <c r="R711" s="6" t="s">
        <v>770</v>
      </c>
      <c r="S711" s="38" t="s">
        <v>929</v>
      </c>
      <c r="T711" s="26">
        <v>0</v>
      </c>
    </row>
    <row r="712" spans="2:20" ht="51">
      <c r="B712" s="6">
        <v>696</v>
      </c>
      <c r="C712" s="36" t="s">
        <v>714</v>
      </c>
      <c r="D712" s="37" t="s">
        <v>715</v>
      </c>
      <c r="E712" s="38" t="s">
        <v>695</v>
      </c>
      <c r="F712" s="70" t="s">
        <v>119</v>
      </c>
      <c r="G712" s="70" t="s">
        <v>119</v>
      </c>
      <c r="H712" s="70" t="s">
        <v>852</v>
      </c>
      <c r="I712" s="70" t="s">
        <v>696</v>
      </c>
      <c r="J712" s="70" t="s">
        <v>119</v>
      </c>
      <c r="K712" s="70" t="s">
        <v>119</v>
      </c>
      <c r="L712" s="70" t="s">
        <v>595</v>
      </c>
      <c r="M712" s="38" t="s">
        <v>648</v>
      </c>
      <c r="N712" s="26">
        <v>72</v>
      </c>
      <c r="O712" s="57">
        <v>103</v>
      </c>
      <c r="P712" s="62">
        <f t="shared" si="11"/>
        <v>7416</v>
      </c>
      <c r="Q712" s="6" t="s">
        <v>395</v>
      </c>
      <c r="R712" s="6" t="s">
        <v>770</v>
      </c>
      <c r="S712" s="38" t="s">
        <v>929</v>
      </c>
      <c r="T712" s="26">
        <v>0</v>
      </c>
    </row>
    <row r="713" spans="2:20" ht="51">
      <c r="B713" s="6">
        <v>697</v>
      </c>
      <c r="C713" s="36" t="s">
        <v>714</v>
      </c>
      <c r="D713" s="37" t="s">
        <v>715</v>
      </c>
      <c r="E713" s="40" t="s">
        <v>426</v>
      </c>
      <c r="F713" s="70" t="s">
        <v>427</v>
      </c>
      <c r="G713" s="70" t="s">
        <v>428</v>
      </c>
      <c r="H713" s="70" t="s">
        <v>841</v>
      </c>
      <c r="I713" s="70" t="s">
        <v>429</v>
      </c>
      <c r="J713" s="70" t="s">
        <v>2312</v>
      </c>
      <c r="K713" s="70" t="s">
        <v>231</v>
      </c>
      <c r="L713" s="70" t="s">
        <v>595</v>
      </c>
      <c r="M713" s="12" t="s">
        <v>913</v>
      </c>
      <c r="N713" s="65">
        <v>336</v>
      </c>
      <c r="O713" s="57">
        <v>670</v>
      </c>
      <c r="P713" s="62">
        <f t="shared" si="11"/>
        <v>225120</v>
      </c>
      <c r="Q713" s="6" t="s">
        <v>397</v>
      </c>
      <c r="R713" s="6" t="s">
        <v>770</v>
      </c>
      <c r="S713" s="38" t="s">
        <v>719</v>
      </c>
      <c r="T713" s="26">
        <v>50</v>
      </c>
    </row>
    <row r="714" spans="2:20" ht="49.5" customHeight="1">
      <c r="B714" s="6">
        <v>698</v>
      </c>
      <c r="C714" s="36" t="s">
        <v>714</v>
      </c>
      <c r="D714" s="37" t="s">
        <v>715</v>
      </c>
      <c r="E714" s="38" t="s">
        <v>430</v>
      </c>
      <c r="F714" s="70" t="s">
        <v>842</v>
      </c>
      <c r="G714" s="70" t="s">
        <v>19</v>
      </c>
      <c r="H714" s="70" t="s">
        <v>843</v>
      </c>
      <c r="I714" s="70" t="s">
        <v>432</v>
      </c>
      <c r="J714" s="70" t="s">
        <v>842</v>
      </c>
      <c r="K714" s="70" t="s">
        <v>19</v>
      </c>
      <c r="L714" s="70" t="s">
        <v>595</v>
      </c>
      <c r="M714" s="6" t="s">
        <v>673</v>
      </c>
      <c r="N714" s="65">
        <v>28</v>
      </c>
      <c r="O714" s="57">
        <v>313</v>
      </c>
      <c r="P714" s="62">
        <f t="shared" si="11"/>
        <v>8764</v>
      </c>
      <c r="Q714" s="6" t="s">
        <v>397</v>
      </c>
      <c r="R714" s="6" t="s">
        <v>770</v>
      </c>
      <c r="S714" s="38" t="s">
        <v>719</v>
      </c>
      <c r="T714" s="26">
        <v>100</v>
      </c>
    </row>
    <row r="715" spans="2:20" ht="51">
      <c r="B715" s="6">
        <v>699</v>
      </c>
      <c r="C715" s="36" t="s">
        <v>714</v>
      </c>
      <c r="D715" s="37" t="s">
        <v>715</v>
      </c>
      <c r="E715" s="11" t="s">
        <v>433</v>
      </c>
      <c r="F715" s="70" t="s">
        <v>844</v>
      </c>
      <c r="G715" s="70" t="s">
        <v>434</v>
      </c>
      <c r="H715" s="70" t="s">
        <v>845</v>
      </c>
      <c r="I715" s="70" t="s">
        <v>435</v>
      </c>
      <c r="J715" s="70" t="s">
        <v>844</v>
      </c>
      <c r="K715" s="70" t="s">
        <v>232</v>
      </c>
      <c r="L715" s="70" t="s">
        <v>595</v>
      </c>
      <c r="M715" s="12" t="s">
        <v>913</v>
      </c>
      <c r="N715" s="65">
        <v>56</v>
      </c>
      <c r="O715" s="57">
        <v>223</v>
      </c>
      <c r="P715" s="62">
        <f t="shared" si="11"/>
        <v>12488</v>
      </c>
      <c r="Q715" s="6" t="s">
        <v>397</v>
      </c>
      <c r="R715" s="6" t="s">
        <v>770</v>
      </c>
      <c r="S715" s="38" t="s">
        <v>719</v>
      </c>
      <c r="T715" s="26">
        <v>100</v>
      </c>
    </row>
    <row r="716" spans="2:20" ht="20.25" customHeight="1">
      <c r="B716" s="6">
        <v>700</v>
      </c>
      <c r="C716" s="36" t="s">
        <v>714</v>
      </c>
      <c r="D716" s="37" t="s">
        <v>715</v>
      </c>
      <c r="E716" s="12" t="s">
        <v>898</v>
      </c>
      <c r="F716" s="70" t="s">
        <v>771</v>
      </c>
      <c r="G716" s="70" t="s">
        <v>18</v>
      </c>
      <c r="H716" s="70" t="s">
        <v>2188</v>
      </c>
      <c r="I716" s="70" t="s">
        <v>674</v>
      </c>
      <c r="J716" s="70" t="s">
        <v>771</v>
      </c>
      <c r="K716" s="70" t="s">
        <v>18</v>
      </c>
      <c r="L716" s="70" t="s">
        <v>595</v>
      </c>
      <c r="M716" s="6" t="s">
        <v>484</v>
      </c>
      <c r="N716" s="65">
        <v>56</v>
      </c>
      <c r="O716" s="57">
        <v>179</v>
      </c>
      <c r="P716" s="62">
        <f t="shared" si="11"/>
        <v>10024</v>
      </c>
      <c r="Q716" s="6" t="s">
        <v>397</v>
      </c>
      <c r="R716" s="6" t="s">
        <v>770</v>
      </c>
      <c r="S716" s="38" t="s">
        <v>719</v>
      </c>
      <c r="T716" s="26">
        <v>100</v>
      </c>
    </row>
    <row r="717" spans="2:20" ht="39" customHeight="1">
      <c r="B717" s="6">
        <v>701</v>
      </c>
      <c r="C717" s="16" t="s">
        <v>714</v>
      </c>
      <c r="D717" s="37" t="s">
        <v>715</v>
      </c>
      <c r="E717" s="6" t="s">
        <v>675</v>
      </c>
      <c r="F717" s="70" t="s">
        <v>20</v>
      </c>
      <c r="G717" s="70" t="s">
        <v>20</v>
      </c>
      <c r="H717" s="70" t="s">
        <v>2237</v>
      </c>
      <c r="I717" s="70" t="s">
        <v>772</v>
      </c>
      <c r="J717" s="70" t="s">
        <v>20</v>
      </c>
      <c r="K717" s="70" t="s">
        <v>20</v>
      </c>
      <c r="L717" s="70" t="s">
        <v>595</v>
      </c>
      <c r="M717" s="38" t="s">
        <v>648</v>
      </c>
      <c r="N717" s="65">
        <v>56</v>
      </c>
      <c r="O717" s="57">
        <v>107</v>
      </c>
      <c r="P717" s="62">
        <f t="shared" si="11"/>
        <v>5992</v>
      </c>
      <c r="Q717" s="6" t="s">
        <v>397</v>
      </c>
      <c r="R717" s="6" t="s">
        <v>770</v>
      </c>
      <c r="S717" s="38" t="s">
        <v>719</v>
      </c>
      <c r="T717" s="26">
        <v>100</v>
      </c>
    </row>
    <row r="718" spans="2:20" ht="45" customHeight="1">
      <c r="B718" s="6">
        <v>702</v>
      </c>
      <c r="C718" s="36" t="s">
        <v>714</v>
      </c>
      <c r="D718" s="37" t="s">
        <v>715</v>
      </c>
      <c r="E718" s="11" t="s">
        <v>677</v>
      </c>
      <c r="F718" s="70" t="s">
        <v>21</v>
      </c>
      <c r="G718" s="70" t="s">
        <v>21</v>
      </c>
      <c r="H718" s="70" t="s">
        <v>2255</v>
      </c>
      <c r="I718" s="70" t="s">
        <v>678</v>
      </c>
      <c r="J718" s="70" t="s">
        <v>21</v>
      </c>
      <c r="K718" s="70" t="s">
        <v>21</v>
      </c>
      <c r="L718" s="70" t="s">
        <v>595</v>
      </c>
      <c r="M718" s="38" t="s">
        <v>648</v>
      </c>
      <c r="N718" s="65">
        <v>14</v>
      </c>
      <c r="O718" s="57">
        <v>1339</v>
      </c>
      <c r="P718" s="62">
        <f t="shared" si="11"/>
        <v>18746</v>
      </c>
      <c r="Q718" s="6" t="s">
        <v>397</v>
      </c>
      <c r="R718" s="6" t="s">
        <v>770</v>
      </c>
      <c r="S718" s="38" t="s">
        <v>719</v>
      </c>
      <c r="T718" s="26">
        <v>100</v>
      </c>
    </row>
    <row r="719" spans="2:20" ht="41.25" customHeight="1">
      <c r="B719" s="6">
        <v>703</v>
      </c>
      <c r="C719" s="36" t="s">
        <v>714</v>
      </c>
      <c r="D719" s="37" t="s">
        <v>715</v>
      </c>
      <c r="E719" s="11" t="s">
        <v>679</v>
      </c>
      <c r="F719" s="70" t="s">
        <v>2085</v>
      </c>
      <c r="G719" s="70" t="s">
        <v>22</v>
      </c>
      <c r="H719" s="70" t="s">
        <v>847</v>
      </c>
      <c r="I719" s="70" t="s">
        <v>773</v>
      </c>
      <c r="J719" s="70" t="s">
        <v>2085</v>
      </c>
      <c r="K719" s="70" t="s">
        <v>22</v>
      </c>
      <c r="L719" s="70" t="s">
        <v>595</v>
      </c>
      <c r="M719" s="6" t="s">
        <v>484</v>
      </c>
      <c r="N719" s="65">
        <v>336</v>
      </c>
      <c r="O719" s="57">
        <v>13</v>
      </c>
      <c r="P719" s="62">
        <f t="shared" si="11"/>
        <v>4368</v>
      </c>
      <c r="Q719" s="6" t="s">
        <v>397</v>
      </c>
      <c r="R719" s="6" t="s">
        <v>770</v>
      </c>
      <c r="S719" s="38" t="s">
        <v>719</v>
      </c>
      <c r="T719" s="26">
        <v>100</v>
      </c>
    </row>
    <row r="720" spans="2:20" ht="39.75" customHeight="1">
      <c r="B720" s="6">
        <v>704</v>
      </c>
      <c r="C720" s="36" t="s">
        <v>714</v>
      </c>
      <c r="D720" s="37" t="s">
        <v>715</v>
      </c>
      <c r="E720" s="6" t="s">
        <v>447</v>
      </c>
      <c r="F720" s="70" t="s">
        <v>448</v>
      </c>
      <c r="G720" s="70" t="s">
        <v>448</v>
      </c>
      <c r="H720" s="70" t="s">
        <v>449</v>
      </c>
      <c r="I720" s="70" t="s">
        <v>450</v>
      </c>
      <c r="J720" s="70" t="s">
        <v>233</v>
      </c>
      <c r="K720" s="70" t="s">
        <v>233</v>
      </c>
      <c r="L720" s="70" t="s">
        <v>595</v>
      </c>
      <c r="M720" s="38" t="s">
        <v>648</v>
      </c>
      <c r="N720" s="65">
        <v>84</v>
      </c>
      <c r="O720" s="57">
        <v>446</v>
      </c>
      <c r="P720" s="62">
        <f t="shared" si="11"/>
        <v>37464</v>
      </c>
      <c r="Q720" s="6" t="s">
        <v>397</v>
      </c>
      <c r="R720" s="6" t="s">
        <v>770</v>
      </c>
      <c r="S720" s="38" t="s">
        <v>719</v>
      </c>
      <c r="T720" s="26">
        <v>100</v>
      </c>
    </row>
    <row r="721" spans="2:20" ht="51">
      <c r="B721" s="6">
        <v>705</v>
      </c>
      <c r="C721" s="36" t="s">
        <v>714</v>
      </c>
      <c r="D721" s="37" t="s">
        <v>715</v>
      </c>
      <c r="E721" s="11" t="s">
        <v>681</v>
      </c>
      <c r="F721" s="70" t="s">
        <v>2285</v>
      </c>
      <c r="G721" s="70" t="s">
        <v>23</v>
      </c>
      <c r="H721" s="70" t="s">
        <v>848</v>
      </c>
      <c r="I721" s="70" t="s">
        <v>682</v>
      </c>
      <c r="J721" s="70" t="s">
        <v>2285</v>
      </c>
      <c r="K721" s="70" t="s">
        <v>23</v>
      </c>
      <c r="L721" s="70" t="s">
        <v>595</v>
      </c>
      <c r="M721" s="38" t="s">
        <v>648</v>
      </c>
      <c r="N721" s="65">
        <v>84</v>
      </c>
      <c r="O721" s="57">
        <v>268</v>
      </c>
      <c r="P721" s="62">
        <f t="shared" ref="P721:P784" si="12">N721*O721</f>
        <v>22512</v>
      </c>
      <c r="Q721" s="6" t="s">
        <v>397</v>
      </c>
      <c r="R721" s="6" t="s">
        <v>770</v>
      </c>
      <c r="S721" s="38" t="s">
        <v>719</v>
      </c>
      <c r="T721" s="26">
        <v>100</v>
      </c>
    </row>
    <row r="722" spans="2:20" ht="51">
      <c r="B722" s="6">
        <v>706</v>
      </c>
      <c r="C722" s="36" t="s">
        <v>714</v>
      </c>
      <c r="D722" s="37" t="s">
        <v>715</v>
      </c>
      <c r="E722" s="11" t="s">
        <v>683</v>
      </c>
      <c r="F722" s="70" t="s">
        <v>24</v>
      </c>
      <c r="G722" s="70" t="s">
        <v>24</v>
      </c>
      <c r="H722" s="70" t="s">
        <v>2288</v>
      </c>
      <c r="I722" s="70" t="s">
        <v>684</v>
      </c>
      <c r="J722" s="70" t="s">
        <v>24</v>
      </c>
      <c r="K722" s="70" t="s">
        <v>24</v>
      </c>
      <c r="L722" s="70" t="s">
        <v>595</v>
      </c>
      <c r="M722" s="38" t="s">
        <v>648</v>
      </c>
      <c r="N722" s="65">
        <v>14</v>
      </c>
      <c r="O722" s="57">
        <v>223</v>
      </c>
      <c r="P722" s="62">
        <f t="shared" si="12"/>
        <v>3122</v>
      </c>
      <c r="Q722" s="6" t="s">
        <v>397</v>
      </c>
      <c r="R722" s="6" t="s">
        <v>770</v>
      </c>
      <c r="S722" s="38" t="s">
        <v>719</v>
      </c>
      <c r="T722" s="26">
        <v>100</v>
      </c>
    </row>
    <row r="723" spans="2:20" ht="51">
      <c r="B723" s="6">
        <v>707</v>
      </c>
      <c r="C723" s="36" t="s">
        <v>714</v>
      </c>
      <c r="D723" s="37" t="s">
        <v>715</v>
      </c>
      <c r="E723" s="6" t="s">
        <v>453</v>
      </c>
      <c r="F723" s="70" t="s">
        <v>2287</v>
      </c>
      <c r="G723" s="70" t="s">
        <v>454</v>
      </c>
      <c r="H723" s="70" t="s">
        <v>2290</v>
      </c>
      <c r="I723" s="70" t="s">
        <v>455</v>
      </c>
      <c r="J723" s="70" t="s">
        <v>2287</v>
      </c>
      <c r="K723" s="70" t="s">
        <v>234</v>
      </c>
      <c r="L723" s="70" t="s">
        <v>595</v>
      </c>
      <c r="M723" s="6" t="s">
        <v>484</v>
      </c>
      <c r="N723" s="65">
        <v>84</v>
      </c>
      <c r="O723" s="57">
        <v>223</v>
      </c>
      <c r="P723" s="62">
        <f t="shared" si="12"/>
        <v>18732</v>
      </c>
      <c r="Q723" s="6" t="s">
        <v>397</v>
      </c>
      <c r="R723" s="6" t="s">
        <v>770</v>
      </c>
      <c r="S723" s="38" t="s">
        <v>719</v>
      </c>
      <c r="T723" s="26">
        <v>100</v>
      </c>
    </row>
    <row r="724" spans="2:20" ht="36" customHeight="1">
      <c r="B724" s="6">
        <v>708</v>
      </c>
      <c r="C724" s="36" t="s">
        <v>714</v>
      </c>
      <c r="D724" s="37" t="s">
        <v>715</v>
      </c>
      <c r="E724" s="6" t="s">
        <v>456</v>
      </c>
      <c r="F724" s="70" t="s">
        <v>457</v>
      </c>
      <c r="G724" s="70" t="s">
        <v>458</v>
      </c>
      <c r="H724" s="70" t="s">
        <v>459</v>
      </c>
      <c r="I724" s="70" t="s">
        <v>460</v>
      </c>
      <c r="J724" s="70" t="s">
        <v>457</v>
      </c>
      <c r="K724" s="70" t="s">
        <v>235</v>
      </c>
      <c r="L724" s="70" t="s">
        <v>595</v>
      </c>
      <c r="M724" s="6" t="s">
        <v>484</v>
      </c>
      <c r="N724" s="65">
        <v>84</v>
      </c>
      <c r="O724" s="57">
        <v>179</v>
      </c>
      <c r="P724" s="62">
        <f t="shared" si="12"/>
        <v>15036</v>
      </c>
      <c r="Q724" s="6" t="s">
        <v>397</v>
      </c>
      <c r="R724" s="6" t="s">
        <v>770</v>
      </c>
      <c r="S724" s="38" t="s">
        <v>719</v>
      </c>
      <c r="T724" s="26">
        <v>100</v>
      </c>
    </row>
    <row r="725" spans="2:20" ht="39.75" customHeight="1">
      <c r="B725" s="6">
        <v>709</v>
      </c>
      <c r="C725" s="36" t="s">
        <v>714</v>
      </c>
      <c r="D725" s="37" t="s">
        <v>715</v>
      </c>
      <c r="E725" s="6" t="s">
        <v>461</v>
      </c>
      <c r="F725" s="70" t="s">
        <v>17</v>
      </c>
      <c r="G725" s="70" t="s">
        <v>17</v>
      </c>
      <c r="H725" s="70" t="s">
        <v>2298</v>
      </c>
      <c r="I725" s="70" t="s">
        <v>2299</v>
      </c>
      <c r="J725" s="70" t="s">
        <v>17</v>
      </c>
      <c r="K725" s="70" t="s">
        <v>17</v>
      </c>
      <c r="L725" s="70" t="s">
        <v>595</v>
      </c>
      <c r="M725" s="38" t="s">
        <v>648</v>
      </c>
      <c r="N725" s="65">
        <v>28</v>
      </c>
      <c r="O725" s="57">
        <v>714</v>
      </c>
      <c r="P725" s="62">
        <f t="shared" si="12"/>
        <v>19992</v>
      </c>
      <c r="Q725" s="6" t="s">
        <v>397</v>
      </c>
      <c r="R725" s="6" t="s">
        <v>770</v>
      </c>
      <c r="S725" s="38" t="s">
        <v>719</v>
      </c>
      <c r="T725" s="26">
        <v>100</v>
      </c>
    </row>
    <row r="726" spans="2:20" ht="51">
      <c r="B726" s="6">
        <v>710</v>
      </c>
      <c r="C726" s="36" t="s">
        <v>714</v>
      </c>
      <c r="D726" s="37" t="s">
        <v>715</v>
      </c>
      <c r="E726" s="12" t="s">
        <v>463</v>
      </c>
      <c r="F726" s="70" t="s">
        <v>1697</v>
      </c>
      <c r="G726" s="70" t="s">
        <v>464</v>
      </c>
      <c r="H726" s="70" t="s">
        <v>2223</v>
      </c>
      <c r="I726" s="70" t="s">
        <v>2224</v>
      </c>
      <c r="J726" s="70" t="s">
        <v>236</v>
      </c>
      <c r="K726" s="70" t="s">
        <v>236</v>
      </c>
      <c r="L726" s="70" t="s">
        <v>595</v>
      </c>
      <c r="M726" s="38" t="s">
        <v>648</v>
      </c>
      <c r="N726" s="65">
        <v>56</v>
      </c>
      <c r="O726" s="57">
        <v>161</v>
      </c>
      <c r="P726" s="62">
        <f t="shared" si="12"/>
        <v>9016</v>
      </c>
      <c r="Q726" s="6" t="s">
        <v>397</v>
      </c>
      <c r="R726" s="6" t="s">
        <v>770</v>
      </c>
      <c r="S726" s="38" t="s">
        <v>719</v>
      </c>
      <c r="T726" s="26">
        <v>100</v>
      </c>
    </row>
    <row r="727" spans="2:20" ht="39.75" customHeight="1">
      <c r="B727" s="6">
        <v>711</v>
      </c>
      <c r="C727" s="16" t="s">
        <v>714</v>
      </c>
      <c r="D727" s="37" t="s">
        <v>715</v>
      </c>
      <c r="E727" s="11" t="s">
        <v>687</v>
      </c>
      <c r="F727" s="70" t="s">
        <v>470</v>
      </c>
      <c r="G727" s="70" t="s">
        <v>467</v>
      </c>
      <c r="H727" s="70" t="s">
        <v>849</v>
      </c>
      <c r="I727" s="70" t="s">
        <v>774</v>
      </c>
      <c r="J727" s="70" t="s">
        <v>470</v>
      </c>
      <c r="K727" s="70" t="s">
        <v>467</v>
      </c>
      <c r="L727" s="70" t="s">
        <v>595</v>
      </c>
      <c r="M727" s="38" t="s">
        <v>648</v>
      </c>
      <c r="N727" s="65">
        <v>56</v>
      </c>
      <c r="O727" s="57">
        <v>161</v>
      </c>
      <c r="P727" s="62">
        <f t="shared" si="12"/>
        <v>9016</v>
      </c>
      <c r="Q727" s="6" t="s">
        <v>397</v>
      </c>
      <c r="R727" s="6" t="s">
        <v>770</v>
      </c>
      <c r="S727" s="38" t="s">
        <v>719</v>
      </c>
      <c r="T727" s="26">
        <v>100</v>
      </c>
    </row>
    <row r="728" spans="2:20" ht="54" customHeight="1">
      <c r="B728" s="6">
        <v>712</v>
      </c>
      <c r="C728" s="36" t="s">
        <v>714</v>
      </c>
      <c r="D728" s="37" t="s">
        <v>715</v>
      </c>
      <c r="E728" s="11" t="s">
        <v>688</v>
      </c>
      <c r="F728" s="70" t="s">
        <v>470</v>
      </c>
      <c r="G728" s="70" t="s">
        <v>25</v>
      </c>
      <c r="H728" s="70" t="s">
        <v>2199</v>
      </c>
      <c r="I728" s="70" t="s">
        <v>689</v>
      </c>
      <c r="J728" s="70" t="s">
        <v>470</v>
      </c>
      <c r="K728" s="70" t="s">
        <v>25</v>
      </c>
      <c r="L728" s="70" t="s">
        <v>595</v>
      </c>
      <c r="M728" s="38" t="s">
        <v>648</v>
      </c>
      <c r="N728" s="65">
        <v>56</v>
      </c>
      <c r="O728" s="57">
        <v>45</v>
      </c>
      <c r="P728" s="62">
        <f t="shared" si="12"/>
        <v>2520</v>
      </c>
      <c r="Q728" s="6" t="s">
        <v>397</v>
      </c>
      <c r="R728" s="6" t="s">
        <v>770</v>
      </c>
      <c r="S728" s="38" t="s">
        <v>719</v>
      </c>
      <c r="T728" s="26">
        <v>100</v>
      </c>
    </row>
    <row r="729" spans="2:20" ht="51">
      <c r="B729" s="6">
        <v>713</v>
      </c>
      <c r="C729" s="16" t="s">
        <v>714</v>
      </c>
      <c r="D729" s="37" t="s">
        <v>715</v>
      </c>
      <c r="E729" s="11" t="s">
        <v>690</v>
      </c>
      <c r="F729" s="70" t="s">
        <v>2313</v>
      </c>
      <c r="G729" s="70" t="s">
        <v>26</v>
      </c>
      <c r="H729" s="70" t="s">
        <v>2314</v>
      </c>
      <c r="I729" s="70" t="s">
        <v>691</v>
      </c>
      <c r="J729" s="70" t="s">
        <v>2313</v>
      </c>
      <c r="K729" s="70" t="s">
        <v>26</v>
      </c>
      <c r="L729" s="70" t="s">
        <v>595</v>
      </c>
      <c r="M729" s="12" t="s">
        <v>913</v>
      </c>
      <c r="N729" s="65">
        <v>28</v>
      </c>
      <c r="O729" s="57">
        <v>134</v>
      </c>
      <c r="P729" s="62">
        <f t="shared" si="12"/>
        <v>3752</v>
      </c>
      <c r="Q729" s="6" t="s">
        <v>397</v>
      </c>
      <c r="R729" s="6" t="s">
        <v>770</v>
      </c>
      <c r="S729" s="38" t="s">
        <v>719</v>
      </c>
      <c r="T729" s="26">
        <v>100</v>
      </c>
    </row>
    <row r="730" spans="2:20" ht="56.25" customHeight="1">
      <c r="B730" s="6">
        <v>714</v>
      </c>
      <c r="C730" s="36" t="s">
        <v>714</v>
      </c>
      <c r="D730" s="37" t="s">
        <v>715</v>
      </c>
      <c r="E730" s="6" t="s">
        <v>474</v>
      </c>
      <c r="F730" s="70" t="s">
        <v>27</v>
      </c>
      <c r="G730" s="70" t="s">
        <v>27</v>
      </c>
      <c r="H730" s="70" t="s">
        <v>475</v>
      </c>
      <c r="I730" s="70" t="s">
        <v>476</v>
      </c>
      <c r="J730" s="70" t="s">
        <v>27</v>
      </c>
      <c r="K730" s="70" t="s">
        <v>27</v>
      </c>
      <c r="L730" s="70" t="s">
        <v>595</v>
      </c>
      <c r="M730" s="38" t="s">
        <v>648</v>
      </c>
      <c r="N730" s="65">
        <v>3</v>
      </c>
      <c r="O730" s="57">
        <v>2679</v>
      </c>
      <c r="P730" s="62">
        <f t="shared" si="12"/>
        <v>8037</v>
      </c>
      <c r="Q730" s="6" t="s">
        <v>397</v>
      </c>
      <c r="R730" s="6" t="s">
        <v>770</v>
      </c>
      <c r="S730" s="38" t="s">
        <v>719</v>
      </c>
      <c r="T730" s="26">
        <v>100</v>
      </c>
    </row>
    <row r="731" spans="2:20" ht="51">
      <c r="B731" s="6">
        <v>715</v>
      </c>
      <c r="C731" s="36" t="s">
        <v>714</v>
      </c>
      <c r="D731" s="37" t="s">
        <v>715</v>
      </c>
      <c r="E731" s="11" t="s">
        <v>692</v>
      </c>
      <c r="F731" s="70" t="s">
        <v>850</v>
      </c>
      <c r="G731" s="70" t="s">
        <v>850</v>
      </c>
      <c r="H731" s="70" t="s">
        <v>775</v>
      </c>
      <c r="I731" s="70" t="s">
        <v>775</v>
      </c>
      <c r="J731" s="70" t="s">
        <v>850</v>
      </c>
      <c r="K731" s="70" t="s">
        <v>237</v>
      </c>
      <c r="L731" s="70" t="s">
        <v>595</v>
      </c>
      <c r="M731" s="38" t="s">
        <v>648</v>
      </c>
      <c r="N731" s="65">
        <v>336</v>
      </c>
      <c r="O731" s="57">
        <v>45</v>
      </c>
      <c r="P731" s="62">
        <f t="shared" si="12"/>
        <v>15120</v>
      </c>
      <c r="Q731" s="6" t="s">
        <v>397</v>
      </c>
      <c r="R731" s="6" t="s">
        <v>770</v>
      </c>
      <c r="S731" s="38" t="s">
        <v>719</v>
      </c>
      <c r="T731" s="26">
        <v>100</v>
      </c>
    </row>
    <row r="732" spans="2:20" ht="41.25" customHeight="1">
      <c r="B732" s="6">
        <v>716</v>
      </c>
      <c r="C732" s="36" t="s">
        <v>714</v>
      </c>
      <c r="D732" s="37" t="s">
        <v>715</v>
      </c>
      <c r="E732" s="6" t="s">
        <v>480</v>
      </c>
      <c r="F732" s="70" t="s">
        <v>481</v>
      </c>
      <c r="G732" s="70" t="s">
        <v>28</v>
      </c>
      <c r="H732" s="70" t="s">
        <v>482</v>
      </c>
      <c r="I732" s="70" t="s">
        <v>483</v>
      </c>
      <c r="J732" s="70" t="s">
        <v>481</v>
      </c>
      <c r="K732" s="70" t="s">
        <v>28</v>
      </c>
      <c r="L732" s="70" t="s">
        <v>595</v>
      </c>
      <c r="M732" s="38" t="s">
        <v>648</v>
      </c>
      <c r="N732" s="65">
        <v>14</v>
      </c>
      <c r="O732" s="57">
        <v>759</v>
      </c>
      <c r="P732" s="62">
        <f t="shared" si="12"/>
        <v>10626</v>
      </c>
      <c r="Q732" s="6" t="s">
        <v>397</v>
      </c>
      <c r="R732" s="6" t="s">
        <v>770</v>
      </c>
      <c r="S732" s="38" t="s">
        <v>719</v>
      </c>
      <c r="T732" s="26">
        <v>100</v>
      </c>
    </row>
    <row r="733" spans="2:20" ht="51">
      <c r="B733" s="6">
        <v>717</v>
      </c>
      <c r="C733" s="36" t="s">
        <v>714</v>
      </c>
      <c r="D733" s="37" t="s">
        <v>715</v>
      </c>
      <c r="E733" s="11" t="s">
        <v>694</v>
      </c>
      <c r="F733" s="70" t="s">
        <v>2191</v>
      </c>
      <c r="G733" s="70" t="s">
        <v>29</v>
      </c>
      <c r="H733" s="70" t="s">
        <v>851</v>
      </c>
      <c r="I733" s="70" t="s">
        <v>776</v>
      </c>
      <c r="J733" s="70" t="s">
        <v>2191</v>
      </c>
      <c r="K733" s="70" t="s">
        <v>29</v>
      </c>
      <c r="L733" s="70" t="s">
        <v>595</v>
      </c>
      <c r="M733" s="6" t="s">
        <v>484</v>
      </c>
      <c r="N733" s="65">
        <v>168</v>
      </c>
      <c r="O733" s="57">
        <v>27</v>
      </c>
      <c r="P733" s="62">
        <f t="shared" si="12"/>
        <v>4536</v>
      </c>
      <c r="Q733" s="6" t="s">
        <v>397</v>
      </c>
      <c r="R733" s="6" t="s">
        <v>770</v>
      </c>
      <c r="S733" s="38" t="s">
        <v>719</v>
      </c>
      <c r="T733" s="26">
        <v>100</v>
      </c>
    </row>
    <row r="734" spans="2:20" ht="51">
      <c r="B734" s="6">
        <v>718</v>
      </c>
      <c r="C734" s="36" t="s">
        <v>714</v>
      </c>
      <c r="D734" s="37" t="s">
        <v>715</v>
      </c>
      <c r="E734" s="38" t="s">
        <v>695</v>
      </c>
      <c r="F734" s="70" t="s">
        <v>119</v>
      </c>
      <c r="G734" s="70" t="s">
        <v>119</v>
      </c>
      <c r="H734" s="70" t="s">
        <v>852</v>
      </c>
      <c r="I734" s="70" t="s">
        <v>696</v>
      </c>
      <c r="J734" s="70" t="s">
        <v>119</v>
      </c>
      <c r="K734" s="70" t="s">
        <v>119</v>
      </c>
      <c r="L734" s="70" t="s">
        <v>595</v>
      </c>
      <c r="M734" s="38" t="s">
        <v>648</v>
      </c>
      <c r="N734" s="26">
        <v>84</v>
      </c>
      <c r="O734" s="57">
        <v>103</v>
      </c>
      <c r="P734" s="62">
        <f t="shared" si="12"/>
        <v>8652</v>
      </c>
      <c r="Q734" s="6" t="s">
        <v>519</v>
      </c>
      <c r="R734" s="6" t="s">
        <v>770</v>
      </c>
      <c r="S734" s="38" t="s">
        <v>719</v>
      </c>
      <c r="T734" s="26">
        <v>100</v>
      </c>
    </row>
    <row r="735" spans="2:20" s="39" customFormat="1" ht="74.25" customHeight="1">
      <c r="B735" s="6">
        <v>719</v>
      </c>
      <c r="C735" s="36" t="s">
        <v>714</v>
      </c>
      <c r="D735" s="37" t="s">
        <v>715</v>
      </c>
      <c r="E735" s="38" t="s">
        <v>430</v>
      </c>
      <c r="F735" s="70" t="s">
        <v>842</v>
      </c>
      <c r="G735" s="70" t="s">
        <v>19</v>
      </c>
      <c r="H735" s="70" t="s">
        <v>843</v>
      </c>
      <c r="I735" s="70" t="s">
        <v>432</v>
      </c>
      <c r="J735" s="70" t="s">
        <v>842</v>
      </c>
      <c r="K735" s="70" t="s">
        <v>19</v>
      </c>
      <c r="L735" s="70" t="s">
        <v>595</v>
      </c>
      <c r="M735" s="6" t="s">
        <v>673</v>
      </c>
      <c r="N735" s="26">
        <v>22</v>
      </c>
      <c r="O735" s="57">
        <v>313</v>
      </c>
      <c r="P735" s="62">
        <f t="shared" si="12"/>
        <v>6886</v>
      </c>
      <c r="Q735" s="6" t="s">
        <v>397</v>
      </c>
      <c r="R735" s="6" t="s">
        <v>398</v>
      </c>
      <c r="S735" s="38">
        <v>551000000</v>
      </c>
      <c r="T735" s="26">
        <v>100</v>
      </c>
    </row>
    <row r="736" spans="2:20" s="39" customFormat="1" ht="51">
      <c r="B736" s="6">
        <v>720</v>
      </c>
      <c r="C736" s="36" t="s">
        <v>714</v>
      </c>
      <c r="D736" s="37" t="s">
        <v>715</v>
      </c>
      <c r="E736" s="11" t="s">
        <v>433</v>
      </c>
      <c r="F736" s="70" t="s">
        <v>844</v>
      </c>
      <c r="G736" s="70" t="s">
        <v>434</v>
      </c>
      <c r="H736" s="70" t="s">
        <v>845</v>
      </c>
      <c r="I736" s="70" t="s">
        <v>435</v>
      </c>
      <c r="J736" s="70" t="s">
        <v>844</v>
      </c>
      <c r="K736" s="70" t="s">
        <v>232</v>
      </c>
      <c r="L736" s="70" t="s">
        <v>595</v>
      </c>
      <c r="M736" s="12" t="s">
        <v>913</v>
      </c>
      <c r="N736" s="26">
        <v>44</v>
      </c>
      <c r="O736" s="57">
        <v>223</v>
      </c>
      <c r="P736" s="62">
        <f t="shared" si="12"/>
        <v>9812</v>
      </c>
      <c r="Q736" s="6" t="s">
        <v>397</v>
      </c>
      <c r="R736" s="6" t="s">
        <v>770</v>
      </c>
      <c r="S736" s="38">
        <v>551000000</v>
      </c>
      <c r="T736" s="26">
        <v>100</v>
      </c>
    </row>
    <row r="737" spans="2:20" s="39" customFormat="1" ht="25.5">
      <c r="B737" s="6">
        <v>721</v>
      </c>
      <c r="C737" s="36" t="s">
        <v>714</v>
      </c>
      <c r="D737" s="37" t="s">
        <v>715</v>
      </c>
      <c r="E737" s="12" t="s">
        <v>898</v>
      </c>
      <c r="F737" s="70" t="s">
        <v>771</v>
      </c>
      <c r="G737" s="70" t="s">
        <v>18</v>
      </c>
      <c r="H737" s="70" t="s">
        <v>2188</v>
      </c>
      <c r="I737" s="70" t="s">
        <v>674</v>
      </c>
      <c r="J737" s="70" t="s">
        <v>771</v>
      </c>
      <c r="K737" s="70" t="s">
        <v>18</v>
      </c>
      <c r="L737" s="70" t="s">
        <v>595</v>
      </c>
      <c r="M737" s="6" t="s">
        <v>484</v>
      </c>
      <c r="N737" s="26">
        <v>44</v>
      </c>
      <c r="O737" s="57">
        <v>179</v>
      </c>
      <c r="P737" s="62">
        <f t="shared" si="12"/>
        <v>7876</v>
      </c>
      <c r="Q737" s="6" t="s">
        <v>397</v>
      </c>
      <c r="R737" s="6" t="s">
        <v>398</v>
      </c>
      <c r="S737" s="38">
        <v>551000000</v>
      </c>
      <c r="T737" s="26">
        <v>100</v>
      </c>
    </row>
    <row r="738" spans="2:20" s="39" customFormat="1" ht="52.5" customHeight="1">
      <c r="B738" s="6">
        <v>722</v>
      </c>
      <c r="C738" s="16" t="s">
        <v>714</v>
      </c>
      <c r="D738" s="37" t="s">
        <v>715</v>
      </c>
      <c r="E738" s="12" t="s">
        <v>899</v>
      </c>
      <c r="F738" s="70" t="s">
        <v>20</v>
      </c>
      <c r="G738" s="70" t="s">
        <v>20</v>
      </c>
      <c r="H738" s="70" t="s">
        <v>2238</v>
      </c>
      <c r="I738" s="70" t="s">
        <v>900</v>
      </c>
      <c r="J738" s="70" t="s">
        <v>20</v>
      </c>
      <c r="K738" s="70" t="s">
        <v>20</v>
      </c>
      <c r="L738" s="70" t="s">
        <v>595</v>
      </c>
      <c r="M738" s="38" t="s">
        <v>648</v>
      </c>
      <c r="N738" s="26">
        <v>44</v>
      </c>
      <c r="O738" s="57">
        <v>107</v>
      </c>
      <c r="P738" s="62">
        <f t="shared" si="12"/>
        <v>4708</v>
      </c>
      <c r="Q738" s="6" t="s">
        <v>397</v>
      </c>
      <c r="R738" s="6" t="s">
        <v>398</v>
      </c>
      <c r="S738" s="38">
        <v>551000000</v>
      </c>
      <c r="T738" s="26">
        <v>100</v>
      </c>
    </row>
    <row r="739" spans="2:20" s="39" customFormat="1" ht="53.25" customHeight="1">
      <c r="B739" s="6">
        <v>723</v>
      </c>
      <c r="C739" s="36" t="s">
        <v>714</v>
      </c>
      <c r="D739" s="37" t="s">
        <v>715</v>
      </c>
      <c r="E739" s="11" t="s">
        <v>677</v>
      </c>
      <c r="F739" s="70" t="s">
        <v>21</v>
      </c>
      <c r="G739" s="70" t="s">
        <v>21</v>
      </c>
      <c r="H739" s="70" t="s">
        <v>2255</v>
      </c>
      <c r="I739" s="70" t="s">
        <v>678</v>
      </c>
      <c r="J739" s="70" t="s">
        <v>21</v>
      </c>
      <c r="K739" s="70" t="s">
        <v>21</v>
      </c>
      <c r="L739" s="70" t="s">
        <v>595</v>
      </c>
      <c r="M739" s="38" t="s">
        <v>648</v>
      </c>
      <c r="N739" s="26">
        <v>11</v>
      </c>
      <c r="O739" s="57">
        <v>1339</v>
      </c>
      <c r="P739" s="62">
        <f t="shared" si="12"/>
        <v>14729</v>
      </c>
      <c r="Q739" s="6" t="s">
        <v>397</v>
      </c>
      <c r="R739" s="6" t="s">
        <v>398</v>
      </c>
      <c r="S739" s="38">
        <v>551000000</v>
      </c>
      <c r="T739" s="26">
        <v>100</v>
      </c>
    </row>
    <row r="740" spans="2:20" s="39" customFormat="1" ht="54.75" customHeight="1">
      <c r="B740" s="6">
        <v>724</v>
      </c>
      <c r="C740" s="16" t="s">
        <v>714</v>
      </c>
      <c r="D740" s="37" t="s">
        <v>715</v>
      </c>
      <c r="E740" s="11" t="s">
        <v>679</v>
      </c>
      <c r="F740" s="70" t="s">
        <v>2085</v>
      </c>
      <c r="G740" s="70" t="s">
        <v>22</v>
      </c>
      <c r="H740" s="70" t="s">
        <v>847</v>
      </c>
      <c r="I740" s="70" t="s">
        <v>773</v>
      </c>
      <c r="J740" s="70" t="s">
        <v>2085</v>
      </c>
      <c r="K740" s="70" t="s">
        <v>22</v>
      </c>
      <c r="L740" s="70" t="s">
        <v>595</v>
      </c>
      <c r="M740" s="6" t="s">
        <v>484</v>
      </c>
      <c r="N740" s="26">
        <v>264</v>
      </c>
      <c r="O740" s="57">
        <v>13</v>
      </c>
      <c r="P740" s="62">
        <f t="shared" si="12"/>
        <v>3432</v>
      </c>
      <c r="Q740" s="6" t="s">
        <v>397</v>
      </c>
      <c r="R740" s="6" t="s">
        <v>398</v>
      </c>
      <c r="S740" s="38">
        <v>551000000</v>
      </c>
      <c r="T740" s="26">
        <v>100</v>
      </c>
    </row>
    <row r="741" spans="2:20" s="39" customFormat="1" ht="51">
      <c r="B741" s="6">
        <v>725</v>
      </c>
      <c r="C741" s="36" t="s">
        <v>714</v>
      </c>
      <c r="D741" s="37" t="s">
        <v>715</v>
      </c>
      <c r="E741" s="6" t="s">
        <v>447</v>
      </c>
      <c r="F741" s="70" t="s">
        <v>448</v>
      </c>
      <c r="G741" s="70" t="s">
        <v>448</v>
      </c>
      <c r="H741" s="70" t="s">
        <v>449</v>
      </c>
      <c r="I741" s="70" t="s">
        <v>450</v>
      </c>
      <c r="J741" s="70" t="s">
        <v>233</v>
      </c>
      <c r="K741" s="70" t="s">
        <v>233</v>
      </c>
      <c r="L741" s="70" t="s">
        <v>595</v>
      </c>
      <c r="M741" s="38" t="s">
        <v>648</v>
      </c>
      <c r="N741" s="26">
        <v>66</v>
      </c>
      <c r="O741" s="57">
        <v>446</v>
      </c>
      <c r="P741" s="62">
        <f t="shared" si="12"/>
        <v>29436</v>
      </c>
      <c r="Q741" s="6" t="s">
        <v>397</v>
      </c>
      <c r="R741" s="6" t="s">
        <v>770</v>
      </c>
      <c r="S741" s="38">
        <v>551000000</v>
      </c>
      <c r="T741" s="26">
        <v>100</v>
      </c>
    </row>
    <row r="742" spans="2:20" s="39" customFormat="1" ht="57" customHeight="1">
      <c r="B742" s="6">
        <v>726</v>
      </c>
      <c r="C742" s="36" t="s">
        <v>714</v>
      </c>
      <c r="D742" s="37" t="s">
        <v>715</v>
      </c>
      <c r="E742" s="11" t="s">
        <v>681</v>
      </c>
      <c r="F742" s="70" t="s">
        <v>2285</v>
      </c>
      <c r="G742" s="70" t="s">
        <v>23</v>
      </c>
      <c r="H742" s="70" t="s">
        <v>848</v>
      </c>
      <c r="I742" s="70" t="s">
        <v>682</v>
      </c>
      <c r="J742" s="70" t="s">
        <v>2285</v>
      </c>
      <c r="K742" s="70" t="s">
        <v>23</v>
      </c>
      <c r="L742" s="70" t="s">
        <v>595</v>
      </c>
      <c r="M742" s="38" t="s">
        <v>648</v>
      </c>
      <c r="N742" s="26">
        <v>66</v>
      </c>
      <c r="O742" s="57">
        <v>268</v>
      </c>
      <c r="P742" s="62">
        <f t="shared" si="12"/>
        <v>17688</v>
      </c>
      <c r="Q742" s="6" t="s">
        <v>397</v>
      </c>
      <c r="R742" s="6" t="s">
        <v>770</v>
      </c>
      <c r="S742" s="38">
        <v>551000000</v>
      </c>
      <c r="T742" s="26">
        <v>100</v>
      </c>
    </row>
    <row r="743" spans="2:20" s="39" customFormat="1" ht="36" customHeight="1">
      <c r="B743" s="6">
        <v>727</v>
      </c>
      <c r="C743" s="36" t="s">
        <v>714</v>
      </c>
      <c r="D743" s="37" t="s">
        <v>715</v>
      </c>
      <c r="E743" s="11" t="s">
        <v>683</v>
      </c>
      <c r="F743" s="70" t="s">
        <v>24</v>
      </c>
      <c r="G743" s="70" t="s">
        <v>24</v>
      </c>
      <c r="H743" s="70" t="s">
        <v>2288</v>
      </c>
      <c r="I743" s="70" t="s">
        <v>684</v>
      </c>
      <c r="J743" s="70" t="s">
        <v>24</v>
      </c>
      <c r="K743" s="70" t="s">
        <v>24</v>
      </c>
      <c r="L743" s="70" t="s">
        <v>595</v>
      </c>
      <c r="M743" s="38" t="s">
        <v>648</v>
      </c>
      <c r="N743" s="26">
        <v>11</v>
      </c>
      <c r="O743" s="57">
        <v>223</v>
      </c>
      <c r="P743" s="62">
        <f t="shared" si="12"/>
        <v>2453</v>
      </c>
      <c r="Q743" s="6" t="s">
        <v>397</v>
      </c>
      <c r="R743" s="6" t="s">
        <v>770</v>
      </c>
      <c r="S743" s="38">
        <v>551000000</v>
      </c>
      <c r="T743" s="26">
        <v>100</v>
      </c>
    </row>
    <row r="744" spans="2:20" s="39" customFormat="1" ht="51">
      <c r="B744" s="6">
        <v>728</v>
      </c>
      <c r="C744" s="36" t="s">
        <v>714</v>
      </c>
      <c r="D744" s="37" t="s">
        <v>715</v>
      </c>
      <c r="E744" s="12" t="s">
        <v>901</v>
      </c>
      <c r="F744" s="70" t="s">
        <v>2287</v>
      </c>
      <c r="G744" s="70" t="s">
        <v>454</v>
      </c>
      <c r="H744" s="70" t="s">
        <v>2293</v>
      </c>
      <c r="I744" s="70" t="s">
        <v>902</v>
      </c>
      <c r="J744" s="70" t="s">
        <v>2287</v>
      </c>
      <c r="K744" s="70" t="s">
        <v>234</v>
      </c>
      <c r="L744" s="70" t="s">
        <v>595</v>
      </c>
      <c r="M744" s="6" t="s">
        <v>484</v>
      </c>
      <c r="N744" s="26">
        <v>66</v>
      </c>
      <c r="O744" s="57">
        <v>223</v>
      </c>
      <c r="P744" s="62">
        <f t="shared" si="12"/>
        <v>14718</v>
      </c>
      <c r="Q744" s="6" t="s">
        <v>397</v>
      </c>
      <c r="R744" s="6" t="s">
        <v>770</v>
      </c>
      <c r="S744" s="38">
        <v>551000000</v>
      </c>
      <c r="T744" s="26">
        <v>100</v>
      </c>
    </row>
    <row r="745" spans="2:20" s="39" customFormat="1" ht="40.5" customHeight="1">
      <c r="B745" s="6">
        <v>729</v>
      </c>
      <c r="C745" s="36" t="s">
        <v>714</v>
      </c>
      <c r="D745" s="37" t="s">
        <v>715</v>
      </c>
      <c r="E745" s="6" t="s">
        <v>456</v>
      </c>
      <c r="F745" s="70" t="s">
        <v>457</v>
      </c>
      <c r="G745" s="70" t="s">
        <v>458</v>
      </c>
      <c r="H745" s="70" t="s">
        <v>459</v>
      </c>
      <c r="I745" s="70" t="s">
        <v>460</v>
      </c>
      <c r="J745" s="70" t="s">
        <v>457</v>
      </c>
      <c r="K745" s="70" t="s">
        <v>235</v>
      </c>
      <c r="L745" s="70" t="s">
        <v>595</v>
      </c>
      <c r="M745" s="6" t="s">
        <v>484</v>
      </c>
      <c r="N745" s="26">
        <v>66</v>
      </c>
      <c r="O745" s="57">
        <v>179</v>
      </c>
      <c r="P745" s="62">
        <f t="shared" si="12"/>
        <v>11814</v>
      </c>
      <c r="Q745" s="6" t="s">
        <v>397</v>
      </c>
      <c r="R745" s="6" t="s">
        <v>770</v>
      </c>
      <c r="S745" s="38">
        <v>551000000</v>
      </c>
      <c r="T745" s="26">
        <v>100</v>
      </c>
    </row>
    <row r="746" spans="2:20" s="39" customFormat="1" ht="50.25" customHeight="1">
      <c r="B746" s="6">
        <v>730</v>
      </c>
      <c r="C746" s="36" t="s">
        <v>714</v>
      </c>
      <c r="D746" s="37" t="s">
        <v>715</v>
      </c>
      <c r="E746" s="6" t="s">
        <v>461</v>
      </c>
      <c r="F746" s="70" t="s">
        <v>17</v>
      </c>
      <c r="G746" s="70" t="s">
        <v>17</v>
      </c>
      <c r="H746" s="70" t="s">
        <v>2298</v>
      </c>
      <c r="I746" s="70" t="s">
        <v>2299</v>
      </c>
      <c r="J746" s="70" t="s">
        <v>17</v>
      </c>
      <c r="K746" s="70" t="s">
        <v>17</v>
      </c>
      <c r="L746" s="70" t="s">
        <v>595</v>
      </c>
      <c r="M746" s="38" t="s">
        <v>648</v>
      </c>
      <c r="N746" s="26">
        <v>22</v>
      </c>
      <c r="O746" s="57">
        <v>714</v>
      </c>
      <c r="P746" s="62">
        <f t="shared" si="12"/>
        <v>15708</v>
      </c>
      <c r="Q746" s="6" t="s">
        <v>397</v>
      </c>
      <c r="R746" s="6" t="s">
        <v>770</v>
      </c>
      <c r="S746" s="38">
        <v>551000000</v>
      </c>
      <c r="T746" s="26">
        <v>100</v>
      </c>
    </row>
    <row r="747" spans="2:20" s="39" customFormat="1" ht="25.5">
      <c r="B747" s="6">
        <v>731</v>
      </c>
      <c r="C747" s="36" t="s">
        <v>714</v>
      </c>
      <c r="D747" s="37" t="s">
        <v>715</v>
      </c>
      <c r="E747" s="12" t="s">
        <v>463</v>
      </c>
      <c r="F747" s="70" t="s">
        <v>1697</v>
      </c>
      <c r="G747" s="70" t="s">
        <v>464</v>
      </c>
      <c r="H747" s="70" t="s">
        <v>2223</v>
      </c>
      <c r="I747" s="70" t="s">
        <v>2224</v>
      </c>
      <c r="J747" s="70" t="s">
        <v>236</v>
      </c>
      <c r="K747" s="70" t="s">
        <v>236</v>
      </c>
      <c r="L747" s="70" t="s">
        <v>595</v>
      </c>
      <c r="M747" s="38" t="s">
        <v>648</v>
      </c>
      <c r="N747" s="26">
        <v>44</v>
      </c>
      <c r="O747" s="57">
        <v>161</v>
      </c>
      <c r="P747" s="62">
        <f t="shared" si="12"/>
        <v>7084</v>
      </c>
      <c r="Q747" s="6" t="s">
        <v>397</v>
      </c>
      <c r="R747" s="6" t="s">
        <v>398</v>
      </c>
      <c r="S747" s="38">
        <v>551000000</v>
      </c>
      <c r="T747" s="26">
        <v>100</v>
      </c>
    </row>
    <row r="748" spans="2:20" s="39" customFormat="1" ht="51">
      <c r="B748" s="6">
        <v>732</v>
      </c>
      <c r="C748" s="16" t="s">
        <v>714</v>
      </c>
      <c r="D748" s="37" t="s">
        <v>715</v>
      </c>
      <c r="E748" s="12" t="s">
        <v>903</v>
      </c>
      <c r="F748" s="70" t="s">
        <v>470</v>
      </c>
      <c r="G748" s="70" t="s">
        <v>467</v>
      </c>
      <c r="H748" s="70" t="s">
        <v>2280</v>
      </c>
      <c r="I748" s="70" t="s">
        <v>904</v>
      </c>
      <c r="J748" s="70" t="s">
        <v>470</v>
      </c>
      <c r="K748" s="70" t="s">
        <v>467</v>
      </c>
      <c r="L748" s="70" t="s">
        <v>595</v>
      </c>
      <c r="M748" s="38" t="s">
        <v>648</v>
      </c>
      <c r="N748" s="26">
        <v>44</v>
      </c>
      <c r="O748" s="57">
        <v>161</v>
      </c>
      <c r="P748" s="62">
        <f t="shared" si="12"/>
        <v>7084</v>
      </c>
      <c r="Q748" s="6" t="s">
        <v>397</v>
      </c>
      <c r="R748" s="6" t="s">
        <v>770</v>
      </c>
      <c r="S748" s="38">
        <v>551000000</v>
      </c>
      <c r="T748" s="26">
        <v>100</v>
      </c>
    </row>
    <row r="749" spans="2:20" s="39" customFormat="1" ht="44.25" customHeight="1">
      <c r="B749" s="6">
        <v>733</v>
      </c>
      <c r="C749" s="36" t="s">
        <v>714</v>
      </c>
      <c r="D749" s="37" t="s">
        <v>715</v>
      </c>
      <c r="E749" s="11" t="s">
        <v>688</v>
      </c>
      <c r="F749" s="70" t="s">
        <v>470</v>
      </c>
      <c r="G749" s="70" t="s">
        <v>25</v>
      </c>
      <c r="H749" s="70" t="s">
        <v>2199</v>
      </c>
      <c r="I749" s="70" t="s">
        <v>689</v>
      </c>
      <c r="J749" s="70" t="s">
        <v>470</v>
      </c>
      <c r="K749" s="70" t="s">
        <v>25</v>
      </c>
      <c r="L749" s="70" t="s">
        <v>595</v>
      </c>
      <c r="M749" s="38" t="s">
        <v>648</v>
      </c>
      <c r="N749" s="26">
        <v>44</v>
      </c>
      <c r="O749" s="57">
        <v>45</v>
      </c>
      <c r="P749" s="62">
        <f t="shared" si="12"/>
        <v>1980</v>
      </c>
      <c r="Q749" s="6" t="s">
        <v>397</v>
      </c>
      <c r="R749" s="6" t="s">
        <v>398</v>
      </c>
      <c r="S749" s="38">
        <v>551000000</v>
      </c>
      <c r="T749" s="26">
        <v>100</v>
      </c>
    </row>
    <row r="750" spans="2:20" s="39" customFormat="1" ht="39" customHeight="1">
      <c r="B750" s="6">
        <v>734</v>
      </c>
      <c r="C750" s="16" t="s">
        <v>714</v>
      </c>
      <c r="D750" s="37" t="s">
        <v>715</v>
      </c>
      <c r="E750" s="11" t="s">
        <v>690</v>
      </c>
      <c r="F750" s="70" t="s">
        <v>2313</v>
      </c>
      <c r="G750" s="70" t="s">
        <v>26</v>
      </c>
      <c r="H750" s="70" t="s">
        <v>2314</v>
      </c>
      <c r="I750" s="70" t="s">
        <v>691</v>
      </c>
      <c r="J750" s="70" t="s">
        <v>2313</v>
      </c>
      <c r="K750" s="70" t="s">
        <v>26</v>
      </c>
      <c r="L750" s="70" t="s">
        <v>595</v>
      </c>
      <c r="M750" s="12" t="s">
        <v>913</v>
      </c>
      <c r="N750" s="26">
        <v>22</v>
      </c>
      <c r="O750" s="57">
        <v>134</v>
      </c>
      <c r="P750" s="62">
        <f t="shared" si="12"/>
        <v>2948</v>
      </c>
      <c r="Q750" s="6" t="s">
        <v>397</v>
      </c>
      <c r="R750" s="6" t="s">
        <v>398</v>
      </c>
      <c r="S750" s="38">
        <v>551000000</v>
      </c>
      <c r="T750" s="26">
        <v>100</v>
      </c>
    </row>
    <row r="751" spans="2:20" s="39" customFormat="1" ht="77.25" customHeight="1">
      <c r="B751" s="6">
        <v>735</v>
      </c>
      <c r="C751" s="36" t="s">
        <v>714</v>
      </c>
      <c r="D751" s="37" t="s">
        <v>715</v>
      </c>
      <c r="E751" s="6" t="s">
        <v>474</v>
      </c>
      <c r="F751" s="70" t="s">
        <v>27</v>
      </c>
      <c r="G751" s="70" t="s">
        <v>27</v>
      </c>
      <c r="H751" s="70" t="s">
        <v>475</v>
      </c>
      <c r="I751" s="70" t="s">
        <v>476</v>
      </c>
      <c r="J751" s="70" t="s">
        <v>27</v>
      </c>
      <c r="K751" s="70" t="s">
        <v>27</v>
      </c>
      <c r="L751" s="70" t="s">
        <v>595</v>
      </c>
      <c r="M751" s="38" t="s">
        <v>648</v>
      </c>
      <c r="N751" s="26">
        <v>2</v>
      </c>
      <c r="O751" s="57">
        <v>2679</v>
      </c>
      <c r="P751" s="62">
        <f t="shared" si="12"/>
        <v>5358</v>
      </c>
      <c r="Q751" s="6" t="s">
        <v>397</v>
      </c>
      <c r="R751" s="6" t="s">
        <v>398</v>
      </c>
      <c r="S751" s="38">
        <v>551000000</v>
      </c>
      <c r="T751" s="26">
        <v>100</v>
      </c>
    </row>
    <row r="752" spans="2:20" s="39" customFormat="1" ht="25.5">
      <c r="B752" s="6">
        <v>736</v>
      </c>
      <c r="C752" s="36" t="s">
        <v>714</v>
      </c>
      <c r="D752" s="37" t="s">
        <v>715</v>
      </c>
      <c r="E752" s="12" t="s">
        <v>905</v>
      </c>
      <c r="F752" s="70" t="s">
        <v>850</v>
      </c>
      <c r="G752" s="70" t="s">
        <v>850</v>
      </c>
      <c r="H752" s="70" t="s">
        <v>775</v>
      </c>
      <c r="I752" s="70" t="s">
        <v>775</v>
      </c>
      <c r="J752" s="70" t="s">
        <v>850</v>
      </c>
      <c r="K752" s="70" t="s">
        <v>237</v>
      </c>
      <c r="L752" s="70" t="s">
        <v>595</v>
      </c>
      <c r="M752" s="38" t="s">
        <v>648</v>
      </c>
      <c r="N752" s="26">
        <v>264</v>
      </c>
      <c r="O752" s="57">
        <v>45</v>
      </c>
      <c r="P752" s="62">
        <f t="shared" si="12"/>
        <v>11880</v>
      </c>
      <c r="Q752" s="6" t="s">
        <v>397</v>
      </c>
      <c r="R752" s="6" t="s">
        <v>398</v>
      </c>
      <c r="S752" s="38">
        <v>551000000</v>
      </c>
      <c r="T752" s="26">
        <v>100</v>
      </c>
    </row>
    <row r="753" spans="2:20" s="39" customFormat="1" ht="54" customHeight="1">
      <c r="B753" s="6">
        <v>737</v>
      </c>
      <c r="C753" s="36" t="s">
        <v>714</v>
      </c>
      <c r="D753" s="37" t="s">
        <v>715</v>
      </c>
      <c r="E753" s="6" t="s">
        <v>480</v>
      </c>
      <c r="F753" s="70" t="s">
        <v>481</v>
      </c>
      <c r="G753" s="70" t="s">
        <v>28</v>
      </c>
      <c r="H753" s="70" t="s">
        <v>482</v>
      </c>
      <c r="I753" s="70" t="s">
        <v>483</v>
      </c>
      <c r="J753" s="70" t="s">
        <v>481</v>
      </c>
      <c r="K753" s="70" t="s">
        <v>28</v>
      </c>
      <c r="L753" s="70" t="s">
        <v>595</v>
      </c>
      <c r="M753" s="38" t="s">
        <v>648</v>
      </c>
      <c r="N753" s="26">
        <v>11</v>
      </c>
      <c r="O753" s="57">
        <v>759</v>
      </c>
      <c r="P753" s="62">
        <f t="shared" si="12"/>
        <v>8349</v>
      </c>
      <c r="Q753" s="6" t="s">
        <v>397</v>
      </c>
      <c r="R753" s="6" t="s">
        <v>398</v>
      </c>
      <c r="S753" s="38">
        <v>551000000</v>
      </c>
      <c r="T753" s="26">
        <v>100</v>
      </c>
    </row>
    <row r="754" spans="2:20" s="39" customFormat="1" ht="49.5" customHeight="1">
      <c r="B754" s="6">
        <v>738</v>
      </c>
      <c r="C754" s="36" t="s">
        <v>714</v>
      </c>
      <c r="D754" s="37" t="s">
        <v>715</v>
      </c>
      <c r="E754" s="11" t="s">
        <v>694</v>
      </c>
      <c r="F754" s="70" t="s">
        <v>2191</v>
      </c>
      <c r="G754" s="70" t="s">
        <v>29</v>
      </c>
      <c r="H754" s="70" t="s">
        <v>851</v>
      </c>
      <c r="I754" s="70" t="s">
        <v>776</v>
      </c>
      <c r="J754" s="70" t="s">
        <v>2191</v>
      </c>
      <c r="K754" s="70" t="s">
        <v>29</v>
      </c>
      <c r="L754" s="70" t="s">
        <v>595</v>
      </c>
      <c r="M754" s="6" t="s">
        <v>484</v>
      </c>
      <c r="N754" s="26">
        <v>132</v>
      </c>
      <c r="O754" s="57">
        <v>27</v>
      </c>
      <c r="P754" s="62">
        <f t="shared" si="12"/>
        <v>3564</v>
      </c>
      <c r="Q754" s="6" t="s">
        <v>397</v>
      </c>
      <c r="R754" s="6" t="s">
        <v>398</v>
      </c>
      <c r="S754" s="38">
        <v>551000000</v>
      </c>
      <c r="T754" s="26">
        <v>100</v>
      </c>
    </row>
    <row r="755" spans="2:20" s="39" customFormat="1" ht="26.25" customHeight="1">
      <c r="B755" s="6">
        <v>739</v>
      </c>
      <c r="C755" s="36" t="s">
        <v>714</v>
      </c>
      <c r="D755" s="37" t="s">
        <v>715</v>
      </c>
      <c r="E755" s="38" t="s">
        <v>695</v>
      </c>
      <c r="F755" s="70" t="s">
        <v>119</v>
      </c>
      <c r="G755" s="70" t="s">
        <v>119</v>
      </c>
      <c r="H755" s="70" t="s">
        <v>852</v>
      </c>
      <c r="I755" s="70" t="s">
        <v>696</v>
      </c>
      <c r="J755" s="70" t="s">
        <v>119</v>
      </c>
      <c r="K755" s="70" t="s">
        <v>119</v>
      </c>
      <c r="L755" s="70" t="s">
        <v>595</v>
      </c>
      <c r="M755" s="38" t="s">
        <v>648</v>
      </c>
      <c r="N755" s="26">
        <v>66</v>
      </c>
      <c r="O755" s="57">
        <v>103</v>
      </c>
      <c r="P755" s="62">
        <f t="shared" si="12"/>
        <v>6798</v>
      </c>
      <c r="Q755" s="6" t="s">
        <v>395</v>
      </c>
      <c r="R755" s="6" t="s">
        <v>519</v>
      </c>
      <c r="S755" s="38">
        <v>551000000</v>
      </c>
      <c r="T755" s="26">
        <v>100</v>
      </c>
    </row>
    <row r="756" spans="2:20" ht="51">
      <c r="B756" s="6">
        <v>740</v>
      </c>
      <c r="C756" s="36" t="s">
        <v>714</v>
      </c>
      <c r="D756" s="37" t="s">
        <v>715</v>
      </c>
      <c r="E756" s="40" t="s">
        <v>426</v>
      </c>
      <c r="F756" s="70" t="s">
        <v>427</v>
      </c>
      <c r="G756" s="70" t="s">
        <v>428</v>
      </c>
      <c r="H756" s="70" t="s">
        <v>841</v>
      </c>
      <c r="I756" s="70" t="s">
        <v>429</v>
      </c>
      <c r="J756" s="70" t="s">
        <v>2312</v>
      </c>
      <c r="K756" s="70" t="s">
        <v>231</v>
      </c>
      <c r="L756" s="70" t="s">
        <v>595</v>
      </c>
      <c r="M756" s="12" t="s">
        <v>913</v>
      </c>
      <c r="N756" s="26">
        <v>240</v>
      </c>
      <c r="O756" s="57">
        <v>670</v>
      </c>
      <c r="P756" s="62">
        <f t="shared" si="12"/>
        <v>160800</v>
      </c>
      <c r="Q756" s="6" t="s">
        <v>397</v>
      </c>
      <c r="R756" s="6" t="s">
        <v>770</v>
      </c>
      <c r="S756" s="38">
        <v>591000000</v>
      </c>
      <c r="T756" s="26">
        <v>100</v>
      </c>
    </row>
    <row r="757" spans="2:20" ht="63.75">
      <c r="B757" s="6">
        <v>741</v>
      </c>
      <c r="C757" s="36" t="s">
        <v>714</v>
      </c>
      <c r="D757" s="37" t="s">
        <v>715</v>
      </c>
      <c r="E757" s="38" t="s">
        <v>430</v>
      </c>
      <c r="F757" s="70" t="s">
        <v>842</v>
      </c>
      <c r="G757" s="70" t="s">
        <v>19</v>
      </c>
      <c r="H757" s="70" t="s">
        <v>843</v>
      </c>
      <c r="I757" s="70" t="s">
        <v>432</v>
      </c>
      <c r="J757" s="70" t="s">
        <v>842</v>
      </c>
      <c r="K757" s="70" t="s">
        <v>19</v>
      </c>
      <c r="L757" s="70" t="s">
        <v>595</v>
      </c>
      <c r="M757" s="6" t="s">
        <v>673</v>
      </c>
      <c r="N757" s="26">
        <v>20</v>
      </c>
      <c r="O757" s="57">
        <v>313</v>
      </c>
      <c r="P757" s="62">
        <f t="shared" si="12"/>
        <v>6260</v>
      </c>
      <c r="Q757" s="6" t="s">
        <v>397</v>
      </c>
      <c r="R757" s="6" t="s">
        <v>770</v>
      </c>
      <c r="S757" s="38">
        <v>591000000</v>
      </c>
      <c r="T757" s="26">
        <v>0</v>
      </c>
    </row>
    <row r="758" spans="2:20" ht="51">
      <c r="B758" s="6">
        <v>742</v>
      </c>
      <c r="C758" s="36" t="s">
        <v>714</v>
      </c>
      <c r="D758" s="37" t="s">
        <v>715</v>
      </c>
      <c r="E758" s="11" t="s">
        <v>433</v>
      </c>
      <c r="F758" s="70" t="s">
        <v>844</v>
      </c>
      <c r="G758" s="70" t="s">
        <v>434</v>
      </c>
      <c r="H758" s="70" t="s">
        <v>845</v>
      </c>
      <c r="I758" s="70" t="s">
        <v>435</v>
      </c>
      <c r="J758" s="70" t="s">
        <v>844</v>
      </c>
      <c r="K758" s="70" t="s">
        <v>232</v>
      </c>
      <c r="L758" s="70" t="s">
        <v>595</v>
      </c>
      <c r="M758" s="12" t="s">
        <v>913</v>
      </c>
      <c r="N758" s="26">
        <v>40</v>
      </c>
      <c r="O758" s="57">
        <v>223</v>
      </c>
      <c r="P758" s="62">
        <f t="shared" si="12"/>
        <v>8920</v>
      </c>
      <c r="Q758" s="6" t="s">
        <v>397</v>
      </c>
      <c r="R758" s="6" t="s">
        <v>770</v>
      </c>
      <c r="S758" s="38">
        <v>591000000</v>
      </c>
      <c r="T758" s="26">
        <v>0</v>
      </c>
    </row>
    <row r="759" spans="2:20" ht="51" outlineLevel="1">
      <c r="B759" s="6">
        <v>743</v>
      </c>
      <c r="C759" s="36" t="s">
        <v>714</v>
      </c>
      <c r="D759" s="37" t="s">
        <v>715</v>
      </c>
      <c r="E759" s="12" t="s">
        <v>898</v>
      </c>
      <c r="F759" s="70" t="s">
        <v>771</v>
      </c>
      <c r="G759" s="70" t="s">
        <v>18</v>
      </c>
      <c r="H759" s="70" t="s">
        <v>2188</v>
      </c>
      <c r="I759" s="70" t="s">
        <v>674</v>
      </c>
      <c r="J759" s="70" t="s">
        <v>771</v>
      </c>
      <c r="K759" s="70" t="s">
        <v>18</v>
      </c>
      <c r="L759" s="70" t="s">
        <v>595</v>
      </c>
      <c r="M759" s="6" t="s">
        <v>484</v>
      </c>
      <c r="N759" s="26">
        <v>40</v>
      </c>
      <c r="O759" s="57">
        <v>179</v>
      </c>
      <c r="P759" s="62">
        <f t="shared" si="12"/>
        <v>7160</v>
      </c>
      <c r="Q759" s="6" t="s">
        <v>397</v>
      </c>
      <c r="R759" s="6" t="s">
        <v>770</v>
      </c>
      <c r="S759" s="38">
        <v>591000000</v>
      </c>
      <c r="T759" s="26">
        <v>0</v>
      </c>
    </row>
    <row r="760" spans="2:20" ht="51" outlineLevel="1">
      <c r="B760" s="6">
        <v>744</v>
      </c>
      <c r="C760" s="16" t="s">
        <v>714</v>
      </c>
      <c r="D760" s="37" t="s">
        <v>715</v>
      </c>
      <c r="E760" s="6" t="s">
        <v>675</v>
      </c>
      <c r="F760" s="70" t="s">
        <v>20</v>
      </c>
      <c r="G760" s="70" t="s">
        <v>20</v>
      </c>
      <c r="H760" s="70" t="s">
        <v>2237</v>
      </c>
      <c r="I760" s="70" t="s">
        <v>772</v>
      </c>
      <c r="J760" s="70" t="s">
        <v>20</v>
      </c>
      <c r="K760" s="70" t="s">
        <v>20</v>
      </c>
      <c r="L760" s="70" t="s">
        <v>595</v>
      </c>
      <c r="M760" s="38" t="s">
        <v>648</v>
      </c>
      <c r="N760" s="26">
        <v>40</v>
      </c>
      <c r="O760" s="57">
        <v>107</v>
      </c>
      <c r="P760" s="62">
        <f t="shared" si="12"/>
        <v>4280</v>
      </c>
      <c r="Q760" s="6" t="s">
        <v>397</v>
      </c>
      <c r="R760" s="6" t="s">
        <v>770</v>
      </c>
      <c r="S760" s="38">
        <v>591000000</v>
      </c>
      <c r="T760" s="26">
        <v>0</v>
      </c>
    </row>
    <row r="761" spans="2:20" ht="51" outlineLevel="1">
      <c r="B761" s="6">
        <v>745</v>
      </c>
      <c r="C761" s="36" t="s">
        <v>714</v>
      </c>
      <c r="D761" s="37" t="s">
        <v>715</v>
      </c>
      <c r="E761" s="11" t="s">
        <v>677</v>
      </c>
      <c r="F761" s="70" t="s">
        <v>21</v>
      </c>
      <c r="G761" s="70" t="s">
        <v>21</v>
      </c>
      <c r="H761" s="70" t="s">
        <v>2255</v>
      </c>
      <c r="I761" s="70" t="s">
        <v>678</v>
      </c>
      <c r="J761" s="70" t="s">
        <v>21</v>
      </c>
      <c r="K761" s="70" t="s">
        <v>21</v>
      </c>
      <c r="L761" s="70" t="s">
        <v>595</v>
      </c>
      <c r="M761" s="38" t="s">
        <v>648</v>
      </c>
      <c r="N761" s="26">
        <v>10</v>
      </c>
      <c r="O761" s="57">
        <v>1339</v>
      </c>
      <c r="P761" s="62">
        <f t="shared" si="12"/>
        <v>13390</v>
      </c>
      <c r="Q761" s="6" t="s">
        <v>397</v>
      </c>
      <c r="R761" s="6" t="s">
        <v>770</v>
      </c>
      <c r="S761" s="38">
        <v>591000000</v>
      </c>
      <c r="T761" s="26">
        <v>0</v>
      </c>
    </row>
    <row r="762" spans="2:20" ht="63.75" outlineLevel="1">
      <c r="B762" s="6">
        <v>746</v>
      </c>
      <c r="C762" s="16" t="s">
        <v>714</v>
      </c>
      <c r="D762" s="37" t="s">
        <v>715</v>
      </c>
      <c r="E762" s="11" t="s">
        <v>679</v>
      </c>
      <c r="F762" s="70" t="s">
        <v>2085</v>
      </c>
      <c r="G762" s="70" t="s">
        <v>22</v>
      </c>
      <c r="H762" s="70" t="s">
        <v>847</v>
      </c>
      <c r="I762" s="70" t="s">
        <v>773</v>
      </c>
      <c r="J762" s="70" t="s">
        <v>2085</v>
      </c>
      <c r="K762" s="70" t="s">
        <v>22</v>
      </c>
      <c r="L762" s="70" t="s">
        <v>595</v>
      </c>
      <c r="M762" s="6" t="s">
        <v>484</v>
      </c>
      <c r="N762" s="26">
        <v>240</v>
      </c>
      <c r="O762" s="57">
        <v>13</v>
      </c>
      <c r="P762" s="62">
        <f t="shared" si="12"/>
        <v>3120</v>
      </c>
      <c r="Q762" s="6" t="s">
        <v>397</v>
      </c>
      <c r="R762" s="6" t="s">
        <v>770</v>
      </c>
      <c r="S762" s="38">
        <v>591000000</v>
      </c>
      <c r="T762" s="26">
        <v>0</v>
      </c>
    </row>
    <row r="763" spans="2:20" ht="51" outlineLevel="1">
      <c r="B763" s="6">
        <v>747</v>
      </c>
      <c r="C763" s="36" t="s">
        <v>714</v>
      </c>
      <c r="D763" s="37" t="s">
        <v>715</v>
      </c>
      <c r="E763" s="6" t="s">
        <v>447</v>
      </c>
      <c r="F763" s="70" t="s">
        <v>448</v>
      </c>
      <c r="G763" s="70" t="s">
        <v>448</v>
      </c>
      <c r="H763" s="70" t="s">
        <v>449</v>
      </c>
      <c r="I763" s="70" t="s">
        <v>450</v>
      </c>
      <c r="J763" s="70" t="s">
        <v>233</v>
      </c>
      <c r="K763" s="70" t="s">
        <v>233</v>
      </c>
      <c r="L763" s="70" t="s">
        <v>595</v>
      </c>
      <c r="M763" s="38" t="s">
        <v>648</v>
      </c>
      <c r="N763" s="26">
        <v>60</v>
      </c>
      <c r="O763" s="57">
        <v>446</v>
      </c>
      <c r="P763" s="62">
        <f t="shared" si="12"/>
        <v>26760</v>
      </c>
      <c r="Q763" s="6" t="s">
        <v>397</v>
      </c>
      <c r="R763" s="6" t="s">
        <v>770</v>
      </c>
      <c r="S763" s="38">
        <v>591000000</v>
      </c>
      <c r="T763" s="26">
        <v>0</v>
      </c>
    </row>
    <row r="764" spans="2:20" ht="51" outlineLevel="1">
      <c r="B764" s="6">
        <v>748</v>
      </c>
      <c r="C764" s="36" t="s">
        <v>714</v>
      </c>
      <c r="D764" s="37" t="s">
        <v>715</v>
      </c>
      <c r="E764" s="11" t="s">
        <v>681</v>
      </c>
      <c r="F764" s="70" t="s">
        <v>2285</v>
      </c>
      <c r="G764" s="70" t="s">
        <v>23</v>
      </c>
      <c r="H764" s="70" t="s">
        <v>848</v>
      </c>
      <c r="I764" s="70" t="s">
        <v>682</v>
      </c>
      <c r="J764" s="70" t="s">
        <v>2285</v>
      </c>
      <c r="K764" s="70" t="s">
        <v>23</v>
      </c>
      <c r="L764" s="70" t="s">
        <v>595</v>
      </c>
      <c r="M764" s="38" t="s">
        <v>648</v>
      </c>
      <c r="N764" s="26">
        <v>60</v>
      </c>
      <c r="O764" s="57">
        <v>268</v>
      </c>
      <c r="P764" s="62">
        <f t="shared" si="12"/>
        <v>16080</v>
      </c>
      <c r="Q764" s="6" t="s">
        <v>397</v>
      </c>
      <c r="R764" s="6" t="s">
        <v>770</v>
      </c>
      <c r="S764" s="38">
        <v>591000000</v>
      </c>
      <c r="T764" s="26">
        <v>0</v>
      </c>
    </row>
    <row r="765" spans="2:20" ht="51" outlineLevel="1">
      <c r="B765" s="6">
        <v>749</v>
      </c>
      <c r="C765" s="36" t="s">
        <v>714</v>
      </c>
      <c r="D765" s="37" t="s">
        <v>715</v>
      </c>
      <c r="E765" s="6" t="s">
        <v>451</v>
      </c>
      <c r="F765" s="70" t="s">
        <v>24</v>
      </c>
      <c r="G765" s="70" t="s">
        <v>24</v>
      </c>
      <c r="H765" s="70" t="s">
        <v>2289</v>
      </c>
      <c r="I765" s="70" t="s">
        <v>452</v>
      </c>
      <c r="J765" s="70" t="s">
        <v>24</v>
      </c>
      <c r="K765" s="70" t="s">
        <v>24</v>
      </c>
      <c r="L765" s="70" t="s">
        <v>595</v>
      </c>
      <c r="M765" s="38" t="s">
        <v>648</v>
      </c>
      <c r="N765" s="26">
        <v>10</v>
      </c>
      <c r="O765" s="57">
        <v>223</v>
      </c>
      <c r="P765" s="62">
        <f t="shared" si="12"/>
        <v>2230</v>
      </c>
      <c r="Q765" s="6" t="s">
        <v>397</v>
      </c>
      <c r="R765" s="6" t="s">
        <v>770</v>
      </c>
      <c r="S765" s="38">
        <v>591000000</v>
      </c>
      <c r="T765" s="26">
        <v>0</v>
      </c>
    </row>
    <row r="766" spans="2:20" ht="51" outlineLevel="1">
      <c r="B766" s="6">
        <v>750</v>
      </c>
      <c r="C766" s="36" t="s">
        <v>714</v>
      </c>
      <c r="D766" s="37" t="s">
        <v>715</v>
      </c>
      <c r="E766" s="6" t="s">
        <v>453</v>
      </c>
      <c r="F766" s="70" t="s">
        <v>2287</v>
      </c>
      <c r="G766" s="70" t="s">
        <v>454</v>
      </c>
      <c r="H766" s="70" t="s">
        <v>2290</v>
      </c>
      <c r="I766" s="70" t="s">
        <v>455</v>
      </c>
      <c r="J766" s="70" t="s">
        <v>2287</v>
      </c>
      <c r="K766" s="70" t="s">
        <v>234</v>
      </c>
      <c r="L766" s="70" t="s">
        <v>595</v>
      </c>
      <c r="M766" s="6" t="s">
        <v>484</v>
      </c>
      <c r="N766" s="26">
        <v>60</v>
      </c>
      <c r="O766" s="57">
        <v>223</v>
      </c>
      <c r="P766" s="62">
        <f t="shared" si="12"/>
        <v>13380</v>
      </c>
      <c r="Q766" s="6" t="s">
        <v>397</v>
      </c>
      <c r="R766" s="6" t="s">
        <v>770</v>
      </c>
      <c r="S766" s="38">
        <v>591000000</v>
      </c>
      <c r="T766" s="26">
        <v>0</v>
      </c>
    </row>
    <row r="767" spans="2:20" ht="51" outlineLevel="1">
      <c r="B767" s="6">
        <v>751</v>
      </c>
      <c r="C767" s="36" t="s">
        <v>714</v>
      </c>
      <c r="D767" s="37" t="s">
        <v>715</v>
      </c>
      <c r="E767" s="6" t="s">
        <v>456</v>
      </c>
      <c r="F767" s="70" t="s">
        <v>457</v>
      </c>
      <c r="G767" s="70" t="s">
        <v>458</v>
      </c>
      <c r="H767" s="70" t="s">
        <v>459</v>
      </c>
      <c r="I767" s="70" t="s">
        <v>460</v>
      </c>
      <c r="J767" s="70" t="s">
        <v>457</v>
      </c>
      <c r="K767" s="70" t="s">
        <v>235</v>
      </c>
      <c r="L767" s="70" t="s">
        <v>595</v>
      </c>
      <c r="M767" s="6" t="s">
        <v>484</v>
      </c>
      <c r="N767" s="26">
        <v>60</v>
      </c>
      <c r="O767" s="57">
        <v>179</v>
      </c>
      <c r="P767" s="62">
        <f t="shared" si="12"/>
        <v>10740</v>
      </c>
      <c r="Q767" s="6" t="s">
        <v>397</v>
      </c>
      <c r="R767" s="6" t="s">
        <v>770</v>
      </c>
      <c r="S767" s="38">
        <v>591000000</v>
      </c>
      <c r="T767" s="26">
        <v>0</v>
      </c>
    </row>
    <row r="768" spans="2:20" ht="51" outlineLevel="1">
      <c r="B768" s="6">
        <v>752</v>
      </c>
      <c r="C768" s="36" t="s">
        <v>714</v>
      </c>
      <c r="D768" s="37" t="s">
        <v>715</v>
      </c>
      <c r="E768" s="6" t="s">
        <v>461</v>
      </c>
      <c r="F768" s="70" t="s">
        <v>17</v>
      </c>
      <c r="G768" s="70" t="s">
        <v>17</v>
      </c>
      <c r="H768" s="70" t="s">
        <v>2298</v>
      </c>
      <c r="I768" s="70" t="s">
        <v>2299</v>
      </c>
      <c r="J768" s="70" t="s">
        <v>17</v>
      </c>
      <c r="K768" s="70" t="s">
        <v>17</v>
      </c>
      <c r="L768" s="70" t="s">
        <v>595</v>
      </c>
      <c r="M768" s="38" t="s">
        <v>648</v>
      </c>
      <c r="N768" s="26">
        <v>20</v>
      </c>
      <c r="O768" s="57">
        <v>714</v>
      </c>
      <c r="P768" s="62">
        <f t="shared" si="12"/>
        <v>14280</v>
      </c>
      <c r="Q768" s="6" t="s">
        <v>397</v>
      </c>
      <c r="R768" s="6" t="s">
        <v>770</v>
      </c>
      <c r="S768" s="38">
        <v>591000000</v>
      </c>
      <c r="T768" s="26">
        <v>0</v>
      </c>
    </row>
    <row r="769" spans="2:20" ht="51" outlineLevel="1">
      <c r="B769" s="6">
        <v>753</v>
      </c>
      <c r="C769" s="36" t="s">
        <v>714</v>
      </c>
      <c r="D769" s="37" t="s">
        <v>715</v>
      </c>
      <c r="E769" s="12" t="s">
        <v>463</v>
      </c>
      <c r="F769" s="70" t="s">
        <v>1697</v>
      </c>
      <c r="G769" s="70" t="s">
        <v>464</v>
      </c>
      <c r="H769" s="70" t="s">
        <v>2223</v>
      </c>
      <c r="I769" s="70" t="s">
        <v>2224</v>
      </c>
      <c r="J769" s="70" t="s">
        <v>236</v>
      </c>
      <c r="K769" s="70" t="s">
        <v>236</v>
      </c>
      <c r="L769" s="70" t="s">
        <v>595</v>
      </c>
      <c r="M769" s="38" t="s">
        <v>648</v>
      </c>
      <c r="N769" s="26">
        <v>40</v>
      </c>
      <c r="O769" s="57">
        <v>161</v>
      </c>
      <c r="P769" s="62">
        <f t="shared" si="12"/>
        <v>6440</v>
      </c>
      <c r="Q769" s="6" t="s">
        <v>397</v>
      </c>
      <c r="R769" s="6" t="s">
        <v>770</v>
      </c>
      <c r="S769" s="38">
        <v>591000000</v>
      </c>
      <c r="T769" s="26">
        <v>0</v>
      </c>
    </row>
    <row r="770" spans="2:20" ht="51" outlineLevel="1">
      <c r="B770" s="6">
        <v>754</v>
      </c>
      <c r="C770" s="16" t="s">
        <v>714</v>
      </c>
      <c r="D770" s="37" t="s">
        <v>715</v>
      </c>
      <c r="E770" s="11" t="s">
        <v>687</v>
      </c>
      <c r="F770" s="70" t="s">
        <v>470</v>
      </c>
      <c r="G770" s="70" t="s">
        <v>467</v>
      </c>
      <c r="H770" s="70" t="s">
        <v>849</v>
      </c>
      <c r="I770" s="70" t="s">
        <v>774</v>
      </c>
      <c r="J770" s="70" t="s">
        <v>470</v>
      </c>
      <c r="K770" s="70" t="s">
        <v>467</v>
      </c>
      <c r="L770" s="70" t="s">
        <v>595</v>
      </c>
      <c r="M770" s="38" t="s">
        <v>648</v>
      </c>
      <c r="N770" s="26">
        <v>40</v>
      </c>
      <c r="O770" s="57">
        <v>161</v>
      </c>
      <c r="P770" s="62">
        <f t="shared" si="12"/>
        <v>6440</v>
      </c>
      <c r="Q770" s="6" t="s">
        <v>397</v>
      </c>
      <c r="R770" s="6" t="s">
        <v>770</v>
      </c>
      <c r="S770" s="38">
        <v>591000000</v>
      </c>
      <c r="T770" s="26">
        <v>0</v>
      </c>
    </row>
    <row r="771" spans="2:20" ht="51" outlineLevel="1">
      <c r="B771" s="6">
        <v>755</v>
      </c>
      <c r="C771" s="36" t="s">
        <v>714</v>
      </c>
      <c r="D771" s="37" t="s">
        <v>715</v>
      </c>
      <c r="E771" s="11" t="s">
        <v>688</v>
      </c>
      <c r="F771" s="70" t="s">
        <v>470</v>
      </c>
      <c r="G771" s="70" t="s">
        <v>25</v>
      </c>
      <c r="H771" s="70" t="s">
        <v>2199</v>
      </c>
      <c r="I771" s="70" t="s">
        <v>689</v>
      </c>
      <c r="J771" s="70" t="s">
        <v>470</v>
      </c>
      <c r="K771" s="70" t="s">
        <v>25</v>
      </c>
      <c r="L771" s="70" t="s">
        <v>595</v>
      </c>
      <c r="M771" s="38" t="s">
        <v>648</v>
      </c>
      <c r="N771" s="26">
        <v>40</v>
      </c>
      <c r="O771" s="57">
        <v>45</v>
      </c>
      <c r="P771" s="62">
        <f t="shared" si="12"/>
        <v>1800</v>
      </c>
      <c r="Q771" s="6" t="s">
        <v>397</v>
      </c>
      <c r="R771" s="6" t="s">
        <v>770</v>
      </c>
      <c r="S771" s="38">
        <v>591000000</v>
      </c>
      <c r="T771" s="26">
        <v>0</v>
      </c>
    </row>
    <row r="772" spans="2:20" ht="51" outlineLevel="1">
      <c r="B772" s="6">
        <v>756</v>
      </c>
      <c r="C772" s="16" t="s">
        <v>714</v>
      </c>
      <c r="D772" s="37" t="s">
        <v>715</v>
      </c>
      <c r="E772" s="11" t="s">
        <v>690</v>
      </c>
      <c r="F772" s="70" t="s">
        <v>2313</v>
      </c>
      <c r="G772" s="70" t="s">
        <v>26</v>
      </c>
      <c r="H772" s="70" t="s">
        <v>2314</v>
      </c>
      <c r="I772" s="70" t="s">
        <v>691</v>
      </c>
      <c r="J772" s="70" t="s">
        <v>2313</v>
      </c>
      <c r="K772" s="70" t="s">
        <v>26</v>
      </c>
      <c r="L772" s="70" t="s">
        <v>595</v>
      </c>
      <c r="M772" s="12" t="s">
        <v>913</v>
      </c>
      <c r="N772" s="26">
        <v>20</v>
      </c>
      <c r="O772" s="57">
        <v>134</v>
      </c>
      <c r="P772" s="62">
        <f t="shared" si="12"/>
        <v>2680</v>
      </c>
      <c r="Q772" s="6" t="s">
        <v>397</v>
      </c>
      <c r="R772" s="6" t="s">
        <v>770</v>
      </c>
      <c r="S772" s="38">
        <v>591000000</v>
      </c>
      <c r="T772" s="26">
        <v>0</v>
      </c>
    </row>
    <row r="773" spans="2:20" ht="114.75" outlineLevel="1">
      <c r="B773" s="6">
        <v>757</v>
      </c>
      <c r="C773" s="36" t="s">
        <v>714</v>
      </c>
      <c r="D773" s="37" t="s">
        <v>715</v>
      </c>
      <c r="E773" s="6" t="s">
        <v>474</v>
      </c>
      <c r="F773" s="70" t="s">
        <v>27</v>
      </c>
      <c r="G773" s="70" t="s">
        <v>27</v>
      </c>
      <c r="H773" s="70" t="s">
        <v>475</v>
      </c>
      <c r="I773" s="70" t="s">
        <v>476</v>
      </c>
      <c r="J773" s="70" t="s">
        <v>27</v>
      </c>
      <c r="K773" s="70" t="s">
        <v>27</v>
      </c>
      <c r="L773" s="70" t="s">
        <v>595</v>
      </c>
      <c r="M773" s="38" t="s">
        <v>648</v>
      </c>
      <c r="N773" s="26">
        <v>2</v>
      </c>
      <c r="O773" s="57">
        <v>2679</v>
      </c>
      <c r="P773" s="62">
        <f t="shared" si="12"/>
        <v>5358</v>
      </c>
      <c r="Q773" s="6" t="s">
        <v>397</v>
      </c>
      <c r="R773" s="6" t="s">
        <v>770</v>
      </c>
      <c r="S773" s="38">
        <v>591000000</v>
      </c>
      <c r="T773" s="26">
        <v>0</v>
      </c>
    </row>
    <row r="774" spans="2:20" ht="51" outlineLevel="1">
      <c r="B774" s="6">
        <v>758</v>
      </c>
      <c r="C774" s="36" t="s">
        <v>714</v>
      </c>
      <c r="D774" s="37" t="s">
        <v>715</v>
      </c>
      <c r="E774" s="11" t="s">
        <v>692</v>
      </c>
      <c r="F774" s="70" t="s">
        <v>850</v>
      </c>
      <c r="G774" s="70" t="s">
        <v>850</v>
      </c>
      <c r="H774" s="70" t="s">
        <v>775</v>
      </c>
      <c r="I774" s="70" t="s">
        <v>775</v>
      </c>
      <c r="J774" s="70" t="s">
        <v>850</v>
      </c>
      <c r="K774" s="70" t="s">
        <v>237</v>
      </c>
      <c r="L774" s="70" t="s">
        <v>595</v>
      </c>
      <c r="M774" s="38" t="s">
        <v>648</v>
      </c>
      <c r="N774" s="26">
        <v>240</v>
      </c>
      <c r="O774" s="57">
        <v>45</v>
      </c>
      <c r="P774" s="62">
        <f t="shared" si="12"/>
        <v>10800</v>
      </c>
      <c r="Q774" s="6" t="s">
        <v>397</v>
      </c>
      <c r="R774" s="6" t="s">
        <v>770</v>
      </c>
      <c r="S774" s="38">
        <v>591000000</v>
      </c>
      <c r="T774" s="26">
        <v>0</v>
      </c>
    </row>
    <row r="775" spans="2:20" ht="51" outlineLevel="1">
      <c r="B775" s="6">
        <v>759</v>
      </c>
      <c r="C775" s="36" t="s">
        <v>714</v>
      </c>
      <c r="D775" s="37" t="s">
        <v>715</v>
      </c>
      <c r="E775" s="6" t="s">
        <v>480</v>
      </c>
      <c r="F775" s="70" t="s">
        <v>481</v>
      </c>
      <c r="G775" s="70" t="s">
        <v>28</v>
      </c>
      <c r="H775" s="70" t="s">
        <v>482</v>
      </c>
      <c r="I775" s="70" t="s">
        <v>483</v>
      </c>
      <c r="J775" s="70" t="s">
        <v>481</v>
      </c>
      <c r="K775" s="70" t="s">
        <v>28</v>
      </c>
      <c r="L775" s="70" t="s">
        <v>595</v>
      </c>
      <c r="M775" s="38" t="s">
        <v>648</v>
      </c>
      <c r="N775" s="26">
        <v>10</v>
      </c>
      <c r="O775" s="57">
        <v>759</v>
      </c>
      <c r="P775" s="62">
        <f t="shared" si="12"/>
        <v>7590</v>
      </c>
      <c r="Q775" s="6" t="s">
        <v>397</v>
      </c>
      <c r="R775" s="6" t="s">
        <v>770</v>
      </c>
      <c r="S775" s="38">
        <v>591000000</v>
      </c>
      <c r="T775" s="26">
        <v>0</v>
      </c>
    </row>
    <row r="776" spans="2:20" ht="51" outlineLevel="1">
      <c r="B776" s="6">
        <v>760</v>
      </c>
      <c r="C776" s="36" t="s">
        <v>714</v>
      </c>
      <c r="D776" s="37" t="s">
        <v>715</v>
      </c>
      <c r="E776" s="11" t="s">
        <v>694</v>
      </c>
      <c r="F776" s="70" t="s">
        <v>2191</v>
      </c>
      <c r="G776" s="70" t="s">
        <v>29</v>
      </c>
      <c r="H776" s="70" t="s">
        <v>851</v>
      </c>
      <c r="I776" s="70" t="s">
        <v>776</v>
      </c>
      <c r="J776" s="70" t="s">
        <v>2191</v>
      </c>
      <c r="K776" s="70" t="s">
        <v>29</v>
      </c>
      <c r="L776" s="70" t="s">
        <v>595</v>
      </c>
      <c r="M776" s="6" t="s">
        <v>484</v>
      </c>
      <c r="N776" s="26">
        <v>120</v>
      </c>
      <c r="O776" s="57">
        <v>27</v>
      </c>
      <c r="P776" s="62">
        <f t="shared" si="12"/>
        <v>3240</v>
      </c>
      <c r="Q776" s="6" t="s">
        <v>397</v>
      </c>
      <c r="R776" s="6" t="s">
        <v>770</v>
      </c>
      <c r="S776" s="38">
        <v>591000000</v>
      </c>
      <c r="T776" s="26">
        <v>0</v>
      </c>
    </row>
    <row r="777" spans="2:20" ht="51" outlineLevel="1">
      <c r="B777" s="6">
        <v>761</v>
      </c>
      <c r="C777" s="36" t="s">
        <v>714</v>
      </c>
      <c r="D777" s="37" t="s">
        <v>715</v>
      </c>
      <c r="E777" s="38" t="s">
        <v>695</v>
      </c>
      <c r="F777" s="70" t="s">
        <v>119</v>
      </c>
      <c r="G777" s="70" t="s">
        <v>119</v>
      </c>
      <c r="H777" s="70" t="s">
        <v>852</v>
      </c>
      <c r="I777" s="70" t="s">
        <v>696</v>
      </c>
      <c r="J777" s="70" t="s">
        <v>119</v>
      </c>
      <c r="K777" s="70" t="s">
        <v>119</v>
      </c>
      <c r="L777" s="70" t="s">
        <v>595</v>
      </c>
      <c r="M777" s="38" t="s">
        <v>648</v>
      </c>
      <c r="N777" s="26">
        <v>60</v>
      </c>
      <c r="O777" s="57">
        <v>103</v>
      </c>
      <c r="P777" s="62">
        <f t="shared" si="12"/>
        <v>6180</v>
      </c>
      <c r="Q777" s="6" t="s">
        <v>519</v>
      </c>
      <c r="R777" s="6" t="s">
        <v>616</v>
      </c>
      <c r="S777" s="38">
        <v>591000000</v>
      </c>
      <c r="T777" s="26">
        <v>0</v>
      </c>
    </row>
    <row r="778" spans="2:20" ht="51" outlineLevel="1">
      <c r="B778" s="6">
        <v>762</v>
      </c>
      <c r="C778" s="36" t="s">
        <v>714</v>
      </c>
      <c r="D778" s="37" t="s">
        <v>715</v>
      </c>
      <c r="E778" s="40" t="s">
        <v>426</v>
      </c>
      <c r="F778" s="70" t="s">
        <v>427</v>
      </c>
      <c r="G778" s="70" t="s">
        <v>428</v>
      </c>
      <c r="H778" s="70" t="s">
        <v>841</v>
      </c>
      <c r="I778" s="70" t="s">
        <v>429</v>
      </c>
      <c r="J778" s="70" t="s">
        <v>2312</v>
      </c>
      <c r="K778" s="70" t="s">
        <v>231</v>
      </c>
      <c r="L778" s="70" t="s">
        <v>595</v>
      </c>
      <c r="M778" s="12" t="s">
        <v>913</v>
      </c>
      <c r="N778" s="26">
        <v>312</v>
      </c>
      <c r="O778" s="57">
        <v>670</v>
      </c>
      <c r="P778" s="62">
        <f t="shared" si="12"/>
        <v>209040</v>
      </c>
      <c r="Q778" s="6" t="s">
        <v>519</v>
      </c>
      <c r="R778" s="6" t="s">
        <v>770</v>
      </c>
      <c r="S778" s="38" t="s">
        <v>2037</v>
      </c>
      <c r="T778" s="6">
        <v>0</v>
      </c>
    </row>
    <row r="779" spans="2:20" ht="63.75" outlineLevel="1">
      <c r="B779" s="6">
        <v>763</v>
      </c>
      <c r="C779" s="36" t="s">
        <v>714</v>
      </c>
      <c r="D779" s="37" t="s">
        <v>715</v>
      </c>
      <c r="E779" s="38" t="s">
        <v>430</v>
      </c>
      <c r="F779" s="70" t="s">
        <v>842</v>
      </c>
      <c r="G779" s="70" t="s">
        <v>19</v>
      </c>
      <c r="H779" s="70" t="s">
        <v>843</v>
      </c>
      <c r="I779" s="70" t="s">
        <v>432</v>
      </c>
      <c r="J779" s="70" t="s">
        <v>842</v>
      </c>
      <c r="K779" s="70" t="s">
        <v>19</v>
      </c>
      <c r="L779" s="70" t="s">
        <v>595</v>
      </c>
      <c r="M779" s="6" t="s">
        <v>673</v>
      </c>
      <c r="N779" s="26">
        <v>26</v>
      </c>
      <c r="O779" s="57">
        <v>313</v>
      </c>
      <c r="P779" s="62">
        <f t="shared" si="12"/>
        <v>8138</v>
      </c>
      <c r="Q779" s="6" t="s">
        <v>397</v>
      </c>
      <c r="R779" s="6" t="s">
        <v>770</v>
      </c>
      <c r="S779" s="38" t="s">
        <v>2037</v>
      </c>
      <c r="T779" s="6">
        <v>0</v>
      </c>
    </row>
    <row r="780" spans="2:20" ht="51" outlineLevel="1">
      <c r="B780" s="6">
        <v>764</v>
      </c>
      <c r="C780" s="36" t="s">
        <v>714</v>
      </c>
      <c r="D780" s="37" t="s">
        <v>715</v>
      </c>
      <c r="E780" s="11" t="s">
        <v>433</v>
      </c>
      <c r="F780" s="70" t="s">
        <v>844</v>
      </c>
      <c r="G780" s="70" t="s">
        <v>434</v>
      </c>
      <c r="H780" s="70" t="s">
        <v>845</v>
      </c>
      <c r="I780" s="70" t="s">
        <v>435</v>
      </c>
      <c r="J780" s="70" t="s">
        <v>844</v>
      </c>
      <c r="K780" s="70" t="s">
        <v>232</v>
      </c>
      <c r="L780" s="70" t="s">
        <v>595</v>
      </c>
      <c r="M780" s="12" t="s">
        <v>913</v>
      </c>
      <c r="N780" s="26">
        <v>52</v>
      </c>
      <c r="O780" s="57">
        <v>223</v>
      </c>
      <c r="P780" s="62">
        <f t="shared" si="12"/>
        <v>11596</v>
      </c>
      <c r="Q780" s="6" t="s">
        <v>397</v>
      </c>
      <c r="R780" s="6" t="s">
        <v>770</v>
      </c>
      <c r="S780" s="38" t="s">
        <v>2037</v>
      </c>
      <c r="T780" s="6">
        <v>0</v>
      </c>
    </row>
    <row r="781" spans="2:20" ht="51" outlineLevel="1">
      <c r="B781" s="6">
        <v>765</v>
      </c>
      <c r="C781" s="36" t="s">
        <v>714</v>
      </c>
      <c r="D781" s="37" t="s">
        <v>715</v>
      </c>
      <c r="E781" s="12" t="s">
        <v>898</v>
      </c>
      <c r="F781" s="70" t="s">
        <v>771</v>
      </c>
      <c r="G781" s="70" t="s">
        <v>18</v>
      </c>
      <c r="H781" s="70" t="s">
        <v>2188</v>
      </c>
      <c r="I781" s="70" t="s">
        <v>674</v>
      </c>
      <c r="J781" s="70" t="s">
        <v>771</v>
      </c>
      <c r="K781" s="70" t="s">
        <v>18</v>
      </c>
      <c r="L781" s="70" t="s">
        <v>595</v>
      </c>
      <c r="M781" s="6" t="s">
        <v>484</v>
      </c>
      <c r="N781" s="26">
        <v>52</v>
      </c>
      <c r="O781" s="57">
        <v>179</v>
      </c>
      <c r="P781" s="62">
        <f t="shared" si="12"/>
        <v>9308</v>
      </c>
      <c r="Q781" s="6" t="s">
        <v>397</v>
      </c>
      <c r="R781" s="6" t="s">
        <v>770</v>
      </c>
      <c r="S781" s="38" t="s">
        <v>2037</v>
      </c>
      <c r="T781" s="6">
        <v>0</v>
      </c>
    </row>
    <row r="782" spans="2:20" ht="51" outlineLevel="1">
      <c r="B782" s="6">
        <v>766</v>
      </c>
      <c r="C782" s="16" t="s">
        <v>714</v>
      </c>
      <c r="D782" s="37" t="s">
        <v>715</v>
      </c>
      <c r="E782" s="6" t="s">
        <v>675</v>
      </c>
      <c r="F782" s="70" t="s">
        <v>20</v>
      </c>
      <c r="G782" s="70" t="s">
        <v>20</v>
      </c>
      <c r="H782" s="70" t="s">
        <v>2237</v>
      </c>
      <c r="I782" s="70" t="s">
        <v>772</v>
      </c>
      <c r="J782" s="70" t="s">
        <v>20</v>
      </c>
      <c r="K782" s="70" t="s">
        <v>20</v>
      </c>
      <c r="L782" s="70" t="s">
        <v>595</v>
      </c>
      <c r="M782" s="38" t="s">
        <v>648</v>
      </c>
      <c r="N782" s="26">
        <v>52</v>
      </c>
      <c r="O782" s="57">
        <v>107</v>
      </c>
      <c r="P782" s="62">
        <f t="shared" si="12"/>
        <v>5564</v>
      </c>
      <c r="Q782" s="6" t="s">
        <v>397</v>
      </c>
      <c r="R782" s="6" t="s">
        <v>770</v>
      </c>
      <c r="S782" s="38" t="s">
        <v>2037</v>
      </c>
      <c r="T782" s="6">
        <v>0</v>
      </c>
    </row>
    <row r="783" spans="2:20" ht="51" outlineLevel="1">
      <c r="B783" s="6">
        <v>767</v>
      </c>
      <c r="C783" s="36" t="s">
        <v>714</v>
      </c>
      <c r="D783" s="37" t="s">
        <v>715</v>
      </c>
      <c r="E783" s="11" t="s">
        <v>677</v>
      </c>
      <c r="F783" s="70" t="s">
        <v>21</v>
      </c>
      <c r="G783" s="70" t="s">
        <v>21</v>
      </c>
      <c r="H783" s="70" t="s">
        <v>2255</v>
      </c>
      <c r="I783" s="70" t="s">
        <v>678</v>
      </c>
      <c r="J783" s="70" t="s">
        <v>21</v>
      </c>
      <c r="K783" s="70" t="s">
        <v>21</v>
      </c>
      <c r="L783" s="70" t="s">
        <v>595</v>
      </c>
      <c r="M783" s="38" t="s">
        <v>648</v>
      </c>
      <c r="N783" s="26">
        <v>13</v>
      </c>
      <c r="O783" s="57">
        <v>1339</v>
      </c>
      <c r="P783" s="62">
        <f t="shared" si="12"/>
        <v>17407</v>
      </c>
      <c r="Q783" s="6" t="s">
        <v>397</v>
      </c>
      <c r="R783" s="6" t="s">
        <v>770</v>
      </c>
      <c r="S783" s="38" t="s">
        <v>2037</v>
      </c>
      <c r="T783" s="6">
        <v>0</v>
      </c>
    </row>
    <row r="784" spans="2:20" ht="63.75" outlineLevel="1">
      <c r="B784" s="6">
        <v>768</v>
      </c>
      <c r="C784" s="16" t="s">
        <v>714</v>
      </c>
      <c r="D784" s="37" t="s">
        <v>715</v>
      </c>
      <c r="E784" s="11" t="s">
        <v>679</v>
      </c>
      <c r="F784" s="70" t="s">
        <v>2085</v>
      </c>
      <c r="G784" s="70" t="s">
        <v>22</v>
      </c>
      <c r="H784" s="70" t="s">
        <v>847</v>
      </c>
      <c r="I784" s="70" t="s">
        <v>773</v>
      </c>
      <c r="J784" s="70" t="s">
        <v>2085</v>
      </c>
      <c r="K784" s="70" t="s">
        <v>22</v>
      </c>
      <c r="L784" s="70" t="s">
        <v>595</v>
      </c>
      <c r="M784" s="6" t="s">
        <v>484</v>
      </c>
      <c r="N784" s="26">
        <v>312</v>
      </c>
      <c r="O784" s="57">
        <v>13</v>
      </c>
      <c r="P784" s="62">
        <f t="shared" si="12"/>
        <v>4056</v>
      </c>
      <c r="Q784" s="6" t="s">
        <v>397</v>
      </c>
      <c r="R784" s="6" t="s">
        <v>770</v>
      </c>
      <c r="S784" s="38" t="s">
        <v>2037</v>
      </c>
      <c r="T784" s="6">
        <v>0</v>
      </c>
    </row>
    <row r="785" spans="2:20" ht="51" outlineLevel="1">
      <c r="B785" s="6">
        <v>769</v>
      </c>
      <c r="C785" s="36" t="s">
        <v>714</v>
      </c>
      <c r="D785" s="37" t="s">
        <v>715</v>
      </c>
      <c r="E785" s="6" t="s">
        <v>447</v>
      </c>
      <c r="F785" s="70" t="s">
        <v>448</v>
      </c>
      <c r="G785" s="70" t="s">
        <v>448</v>
      </c>
      <c r="H785" s="70" t="s">
        <v>449</v>
      </c>
      <c r="I785" s="70" t="s">
        <v>450</v>
      </c>
      <c r="J785" s="70" t="s">
        <v>233</v>
      </c>
      <c r="K785" s="70" t="s">
        <v>233</v>
      </c>
      <c r="L785" s="70" t="s">
        <v>595</v>
      </c>
      <c r="M785" s="38" t="s">
        <v>648</v>
      </c>
      <c r="N785" s="26">
        <v>78</v>
      </c>
      <c r="O785" s="57">
        <v>446</v>
      </c>
      <c r="P785" s="62">
        <f t="shared" ref="P785:P848" si="13">N785*O785</f>
        <v>34788</v>
      </c>
      <c r="Q785" s="6" t="s">
        <v>397</v>
      </c>
      <c r="R785" s="6" t="s">
        <v>770</v>
      </c>
      <c r="S785" s="38" t="s">
        <v>2037</v>
      </c>
      <c r="T785" s="6">
        <v>0</v>
      </c>
    </row>
    <row r="786" spans="2:20" ht="51" outlineLevel="1">
      <c r="B786" s="6">
        <v>770</v>
      </c>
      <c r="C786" s="36" t="s">
        <v>714</v>
      </c>
      <c r="D786" s="37" t="s">
        <v>715</v>
      </c>
      <c r="E786" s="11" t="s">
        <v>681</v>
      </c>
      <c r="F786" s="70" t="s">
        <v>2285</v>
      </c>
      <c r="G786" s="70" t="s">
        <v>23</v>
      </c>
      <c r="H786" s="70" t="s">
        <v>848</v>
      </c>
      <c r="I786" s="70" t="s">
        <v>682</v>
      </c>
      <c r="J786" s="70" t="s">
        <v>2285</v>
      </c>
      <c r="K786" s="70" t="s">
        <v>23</v>
      </c>
      <c r="L786" s="70" t="s">
        <v>595</v>
      </c>
      <c r="M786" s="38" t="s">
        <v>648</v>
      </c>
      <c r="N786" s="26">
        <v>78</v>
      </c>
      <c r="O786" s="57">
        <v>268</v>
      </c>
      <c r="P786" s="62">
        <f t="shared" si="13"/>
        <v>20904</v>
      </c>
      <c r="Q786" s="6" t="s">
        <v>397</v>
      </c>
      <c r="R786" s="6" t="s">
        <v>770</v>
      </c>
      <c r="S786" s="38" t="s">
        <v>2037</v>
      </c>
      <c r="T786" s="6">
        <v>0</v>
      </c>
    </row>
    <row r="787" spans="2:20" ht="51" outlineLevel="1">
      <c r="B787" s="6">
        <v>771</v>
      </c>
      <c r="C787" s="36" t="s">
        <v>714</v>
      </c>
      <c r="D787" s="37" t="s">
        <v>715</v>
      </c>
      <c r="E787" s="11" t="s">
        <v>683</v>
      </c>
      <c r="F787" s="70" t="s">
        <v>24</v>
      </c>
      <c r="G787" s="70" t="s">
        <v>24</v>
      </c>
      <c r="H787" s="70" t="s">
        <v>2288</v>
      </c>
      <c r="I787" s="70" t="s">
        <v>684</v>
      </c>
      <c r="J787" s="70" t="s">
        <v>24</v>
      </c>
      <c r="K787" s="70" t="s">
        <v>24</v>
      </c>
      <c r="L787" s="70" t="s">
        <v>595</v>
      </c>
      <c r="M787" s="38" t="s">
        <v>648</v>
      </c>
      <c r="N787" s="26">
        <v>13</v>
      </c>
      <c r="O787" s="57">
        <v>223</v>
      </c>
      <c r="P787" s="62">
        <f t="shared" si="13"/>
        <v>2899</v>
      </c>
      <c r="Q787" s="6" t="s">
        <v>397</v>
      </c>
      <c r="R787" s="6" t="s">
        <v>770</v>
      </c>
      <c r="S787" s="38" t="s">
        <v>2037</v>
      </c>
      <c r="T787" s="6">
        <v>0</v>
      </c>
    </row>
    <row r="788" spans="2:20" ht="51" outlineLevel="1">
      <c r="B788" s="6">
        <v>772</v>
      </c>
      <c r="C788" s="36" t="s">
        <v>714</v>
      </c>
      <c r="D788" s="37" t="s">
        <v>715</v>
      </c>
      <c r="E788" s="6" t="s">
        <v>453</v>
      </c>
      <c r="F788" s="70" t="s">
        <v>2287</v>
      </c>
      <c r="G788" s="70" t="s">
        <v>454</v>
      </c>
      <c r="H788" s="70" t="s">
        <v>2290</v>
      </c>
      <c r="I788" s="70" t="s">
        <v>455</v>
      </c>
      <c r="J788" s="70" t="s">
        <v>2287</v>
      </c>
      <c r="K788" s="70" t="s">
        <v>234</v>
      </c>
      <c r="L788" s="70" t="s">
        <v>595</v>
      </c>
      <c r="M788" s="6" t="s">
        <v>484</v>
      </c>
      <c r="N788" s="26">
        <v>78</v>
      </c>
      <c r="O788" s="57">
        <v>223</v>
      </c>
      <c r="P788" s="62">
        <f t="shared" si="13"/>
        <v>17394</v>
      </c>
      <c r="Q788" s="6" t="s">
        <v>397</v>
      </c>
      <c r="R788" s="6" t="s">
        <v>770</v>
      </c>
      <c r="S788" s="38" t="s">
        <v>2037</v>
      </c>
      <c r="T788" s="6">
        <v>0</v>
      </c>
    </row>
    <row r="789" spans="2:20" ht="51" outlineLevel="1">
      <c r="B789" s="6">
        <v>773</v>
      </c>
      <c r="C789" s="36" t="s">
        <v>714</v>
      </c>
      <c r="D789" s="37" t="s">
        <v>715</v>
      </c>
      <c r="E789" s="6" t="s">
        <v>456</v>
      </c>
      <c r="F789" s="70" t="s">
        <v>457</v>
      </c>
      <c r="G789" s="70" t="s">
        <v>458</v>
      </c>
      <c r="H789" s="70" t="s">
        <v>459</v>
      </c>
      <c r="I789" s="70" t="s">
        <v>460</v>
      </c>
      <c r="J789" s="70" t="s">
        <v>457</v>
      </c>
      <c r="K789" s="70" t="s">
        <v>235</v>
      </c>
      <c r="L789" s="70" t="s">
        <v>595</v>
      </c>
      <c r="M789" s="6" t="s">
        <v>484</v>
      </c>
      <c r="N789" s="26">
        <v>78</v>
      </c>
      <c r="O789" s="57">
        <v>179</v>
      </c>
      <c r="P789" s="62">
        <f t="shared" si="13"/>
        <v>13962</v>
      </c>
      <c r="Q789" s="6" t="s">
        <v>397</v>
      </c>
      <c r="R789" s="6" t="s">
        <v>770</v>
      </c>
      <c r="S789" s="38" t="s">
        <v>2037</v>
      </c>
      <c r="T789" s="6">
        <v>0</v>
      </c>
    </row>
    <row r="790" spans="2:20" ht="51" outlineLevel="1">
      <c r="B790" s="6">
        <v>774</v>
      </c>
      <c r="C790" s="36" t="s">
        <v>714</v>
      </c>
      <c r="D790" s="37" t="s">
        <v>715</v>
      </c>
      <c r="E790" s="6" t="s">
        <v>461</v>
      </c>
      <c r="F790" s="70" t="s">
        <v>17</v>
      </c>
      <c r="G790" s="70" t="s">
        <v>17</v>
      </c>
      <c r="H790" s="70" t="s">
        <v>2298</v>
      </c>
      <c r="I790" s="70" t="s">
        <v>2299</v>
      </c>
      <c r="J790" s="70" t="s">
        <v>17</v>
      </c>
      <c r="K790" s="70" t="s">
        <v>17</v>
      </c>
      <c r="L790" s="70" t="s">
        <v>595</v>
      </c>
      <c r="M790" s="38" t="s">
        <v>648</v>
      </c>
      <c r="N790" s="26">
        <v>26</v>
      </c>
      <c r="O790" s="57">
        <v>714</v>
      </c>
      <c r="P790" s="62">
        <f t="shared" si="13"/>
        <v>18564</v>
      </c>
      <c r="Q790" s="6" t="s">
        <v>397</v>
      </c>
      <c r="R790" s="6" t="s">
        <v>770</v>
      </c>
      <c r="S790" s="38" t="s">
        <v>2037</v>
      </c>
      <c r="T790" s="6">
        <v>0</v>
      </c>
    </row>
    <row r="791" spans="2:20" ht="51">
      <c r="B791" s="6">
        <v>775</v>
      </c>
      <c r="C791" s="36" t="s">
        <v>714</v>
      </c>
      <c r="D791" s="37" t="s">
        <v>715</v>
      </c>
      <c r="E791" s="12" t="s">
        <v>463</v>
      </c>
      <c r="F791" s="70" t="s">
        <v>1697</v>
      </c>
      <c r="G791" s="70" t="s">
        <v>464</v>
      </c>
      <c r="H791" s="70" t="s">
        <v>2223</v>
      </c>
      <c r="I791" s="70" t="s">
        <v>2224</v>
      </c>
      <c r="J791" s="70" t="s">
        <v>236</v>
      </c>
      <c r="K791" s="70" t="s">
        <v>236</v>
      </c>
      <c r="L791" s="70" t="s">
        <v>595</v>
      </c>
      <c r="M791" s="38" t="s">
        <v>648</v>
      </c>
      <c r="N791" s="26">
        <v>52</v>
      </c>
      <c r="O791" s="57">
        <v>161</v>
      </c>
      <c r="P791" s="62">
        <f t="shared" si="13"/>
        <v>8372</v>
      </c>
      <c r="Q791" s="6" t="s">
        <v>397</v>
      </c>
      <c r="R791" s="6" t="s">
        <v>770</v>
      </c>
      <c r="S791" s="38" t="s">
        <v>2037</v>
      </c>
      <c r="T791" s="6">
        <v>0</v>
      </c>
    </row>
    <row r="792" spans="2:20" ht="51">
      <c r="B792" s="6">
        <v>776</v>
      </c>
      <c r="C792" s="16" t="s">
        <v>714</v>
      </c>
      <c r="D792" s="37" t="s">
        <v>715</v>
      </c>
      <c r="E792" s="11" t="s">
        <v>687</v>
      </c>
      <c r="F792" s="70" t="s">
        <v>470</v>
      </c>
      <c r="G792" s="70" t="s">
        <v>467</v>
      </c>
      <c r="H792" s="70" t="s">
        <v>849</v>
      </c>
      <c r="I792" s="70" t="s">
        <v>774</v>
      </c>
      <c r="J792" s="70" t="s">
        <v>470</v>
      </c>
      <c r="K792" s="70" t="s">
        <v>467</v>
      </c>
      <c r="L792" s="70" t="s">
        <v>595</v>
      </c>
      <c r="M792" s="38" t="s">
        <v>648</v>
      </c>
      <c r="N792" s="26">
        <v>52</v>
      </c>
      <c r="O792" s="57">
        <v>161</v>
      </c>
      <c r="P792" s="62">
        <f t="shared" si="13"/>
        <v>8372</v>
      </c>
      <c r="Q792" s="6" t="s">
        <v>397</v>
      </c>
      <c r="R792" s="6" t="s">
        <v>770</v>
      </c>
      <c r="S792" s="38" t="s">
        <v>2037</v>
      </c>
      <c r="T792" s="6">
        <v>0</v>
      </c>
    </row>
    <row r="793" spans="2:20" ht="51" outlineLevel="1">
      <c r="B793" s="6">
        <v>777</v>
      </c>
      <c r="C793" s="36" t="s">
        <v>714</v>
      </c>
      <c r="D793" s="37" t="s">
        <v>715</v>
      </c>
      <c r="E793" s="11" t="s">
        <v>688</v>
      </c>
      <c r="F793" s="70" t="s">
        <v>470</v>
      </c>
      <c r="G793" s="70" t="s">
        <v>25</v>
      </c>
      <c r="H793" s="70" t="s">
        <v>2199</v>
      </c>
      <c r="I793" s="70" t="s">
        <v>689</v>
      </c>
      <c r="J793" s="70" t="s">
        <v>470</v>
      </c>
      <c r="K793" s="70" t="s">
        <v>25</v>
      </c>
      <c r="L793" s="70" t="s">
        <v>595</v>
      </c>
      <c r="M793" s="38" t="s">
        <v>648</v>
      </c>
      <c r="N793" s="26">
        <v>52</v>
      </c>
      <c r="O793" s="57">
        <v>45</v>
      </c>
      <c r="P793" s="62">
        <f t="shared" si="13"/>
        <v>2340</v>
      </c>
      <c r="Q793" s="6" t="s">
        <v>397</v>
      </c>
      <c r="R793" s="6" t="s">
        <v>770</v>
      </c>
      <c r="S793" s="38" t="s">
        <v>2037</v>
      </c>
      <c r="T793" s="6">
        <v>0</v>
      </c>
    </row>
    <row r="794" spans="2:20" ht="51" outlineLevel="1">
      <c r="B794" s="6">
        <v>778</v>
      </c>
      <c r="C794" s="16" t="s">
        <v>714</v>
      </c>
      <c r="D794" s="37" t="s">
        <v>715</v>
      </c>
      <c r="E794" s="11" t="s">
        <v>690</v>
      </c>
      <c r="F794" s="70" t="s">
        <v>2313</v>
      </c>
      <c r="G794" s="70" t="s">
        <v>26</v>
      </c>
      <c r="H794" s="70" t="s">
        <v>2314</v>
      </c>
      <c r="I794" s="70" t="s">
        <v>691</v>
      </c>
      <c r="J794" s="70" t="s">
        <v>2313</v>
      </c>
      <c r="K794" s="70" t="s">
        <v>26</v>
      </c>
      <c r="L794" s="70" t="s">
        <v>595</v>
      </c>
      <c r="M794" s="12" t="s">
        <v>913</v>
      </c>
      <c r="N794" s="26">
        <v>26</v>
      </c>
      <c r="O794" s="57">
        <v>134</v>
      </c>
      <c r="P794" s="62">
        <f t="shared" si="13"/>
        <v>3484</v>
      </c>
      <c r="Q794" s="6" t="s">
        <v>397</v>
      </c>
      <c r="R794" s="6" t="s">
        <v>770</v>
      </c>
      <c r="S794" s="38" t="s">
        <v>2037</v>
      </c>
      <c r="T794" s="6">
        <v>0</v>
      </c>
    </row>
    <row r="795" spans="2:20" ht="114.75" outlineLevel="1">
      <c r="B795" s="6">
        <v>779</v>
      </c>
      <c r="C795" s="36" t="s">
        <v>714</v>
      </c>
      <c r="D795" s="37" t="s">
        <v>715</v>
      </c>
      <c r="E795" s="6" t="s">
        <v>474</v>
      </c>
      <c r="F795" s="70" t="s">
        <v>27</v>
      </c>
      <c r="G795" s="70" t="s">
        <v>27</v>
      </c>
      <c r="H795" s="70" t="s">
        <v>475</v>
      </c>
      <c r="I795" s="70" t="s">
        <v>476</v>
      </c>
      <c r="J795" s="70" t="s">
        <v>27</v>
      </c>
      <c r="K795" s="70" t="s">
        <v>27</v>
      </c>
      <c r="L795" s="70" t="s">
        <v>595</v>
      </c>
      <c r="M795" s="38" t="s">
        <v>648</v>
      </c>
      <c r="N795" s="26">
        <v>3</v>
      </c>
      <c r="O795" s="57">
        <v>2679</v>
      </c>
      <c r="P795" s="62">
        <f t="shared" si="13"/>
        <v>8037</v>
      </c>
      <c r="Q795" s="6" t="s">
        <v>397</v>
      </c>
      <c r="R795" s="6" t="s">
        <v>770</v>
      </c>
      <c r="S795" s="38" t="s">
        <v>2037</v>
      </c>
      <c r="T795" s="6">
        <v>0</v>
      </c>
    </row>
    <row r="796" spans="2:20" ht="51" outlineLevel="1">
      <c r="B796" s="6">
        <v>780</v>
      </c>
      <c r="C796" s="36" t="s">
        <v>714</v>
      </c>
      <c r="D796" s="37" t="s">
        <v>715</v>
      </c>
      <c r="E796" s="11" t="s">
        <v>692</v>
      </c>
      <c r="F796" s="70" t="s">
        <v>850</v>
      </c>
      <c r="G796" s="70" t="s">
        <v>850</v>
      </c>
      <c r="H796" s="70" t="s">
        <v>775</v>
      </c>
      <c r="I796" s="70" t="s">
        <v>775</v>
      </c>
      <c r="J796" s="70" t="s">
        <v>850</v>
      </c>
      <c r="K796" s="70" t="s">
        <v>237</v>
      </c>
      <c r="L796" s="70" t="s">
        <v>595</v>
      </c>
      <c r="M796" s="38" t="s">
        <v>648</v>
      </c>
      <c r="N796" s="26">
        <v>312</v>
      </c>
      <c r="O796" s="57">
        <v>45</v>
      </c>
      <c r="P796" s="62">
        <f t="shared" si="13"/>
        <v>14040</v>
      </c>
      <c r="Q796" s="6" t="s">
        <v>397</v>
      </c>
      <c r="R796" s="6" t="s">
        <v>770</v>
      </c>
      <c r="S796" s="38" t="s">
        <v>2037</v>
      </c>
      <c r="T796" s="6">
        <v>0</v>
      </c>
    </row>
    <row r="797" spans="2:20" ht="51" outlineLevel="1">
      <c r="B797" s="6">
        <v>781</v>
      </c>
      <c r="C797" s="36" t="s">
        <v>714</v>
      </c>
      <c r="D797" s="37" t="s">
        <v>715</v>
      </c>
      <c r="E797" s="6" t="s">
        <v>480</v>
      </c>
      <c r="F797" s="70" t="s">
        <v>481</v>
      </c>
      <c r="G797" s="70" t="s">
        <v>28</v>
      </c>
      <c r="H797" s="70" t="s">
        <v>482</v>
      </c>
      <c r="I797" s="70" t="s">
        <v>483</v>
      </c>
      <c r="J797" s="70" t="s">
        <v>481</v>
      </c>
      <c r="K797" s="70" t="s">
        <v>28</v>
      </c>
      <c r="L797" s="70" t="s">
        <v>595</v>
      </c>
      <c r="M797" s="38" t="s">
        <v>648</v>
      </c>
      <c r="N797" s="26">
        <v>13</v>
      </c>
      <c r="O797" s="57">
        <v>759</v>
      </c>
      <c r="P797" s="62">
        <f t="shared" si="13"/>
        <v>9867</v>
      </c>
      <c r="Q797" s="6" t="s">
        <v>397</v>
      </c>
      <c r="R797" s="6" t="s">
        <v>770</v>
      </c>
      <c r="S797" s="38" t="s">
        <v>2037</v>
      </c>
      <c r="T797" s="6">
        <v>0</v>
      </c>
    </row>
    <row r="798" spans="2:20" ht="51" outlineLevel="1">
      <c r="B798" s="6">
        <v>782</v>
      </c>
      <c r="C798" s="36" t="s">
        <v>714</v>
      </c>
      <c r="D798" s="37" t="s">
        <v>715</v>
      </c>
      <c r="E798" s="11" t="s">
        <v>694</v>
      </c>
      <c r="F798" s="70" t="s">
        <v>2191</v>
      </c>
      <c r="G798" s="70" t="s">
        <v>29</v>
      </c>
      <c r="H798" s="70" t="s">
        <v>2990</v>
      </c>
      <c r="I798" s="70" t="s">
        <v>776</v>
      </c>
      <c r="J798" s="70" t="s">
        <v>2191</v>
      </c>
      <c r="K798" s="70" t="s">
        <v>29</v>
      </c>
      <c r="L798" s="70" t="s">
        <v>595</v>
      </c>
      <c r="M798" s="6" t="s">
        <v>484</v>
      </c>
      <c r="N798" s="26">
        <v>156</v>
      </c>
      <c r="O798" s="57">
        <v>27</v>
      </c>
      <c r="P798" s="62">
        <f t="shared" si="13"/>
        <v>4212</v>
      </c>
      <c r="Q798" s="6" t="s">
        <v>397</v>
      </c>
      <c r="R798" s="6" t="s">
        <v>770</v>
      </c>
      <c r="S798" s="38" t="s">
        <v>2037</v>
      </c>
      <c r="T798" s="6">
        <v>0</v>
      </c>
    </row>
    <row r="799" spans="2:20" ht="51" outlineLevel="1">
      <c r="B799" s="6">
        <v>783</v>
      </c>
      <c r="C799" s="36" t="s">
        <v>714</v>
      </c>
      <c r="D799" s="37" t="s">
        <v>715</v>
      </c>
      <c r="E799" s="38" t="s">
        <v>695</v>
      </c>
      <c r="F799" s="70" t="s">
        <v>119</v>
      </c>
      <c r="G799" s="70" t="s">
        <v>119</v>
      </c>
      <c r="H799" s="70" t="s">
        <v>852</v>
      </c>
      <c r="I799" s="70" t="s">
        <v>696</v>
      </c>
      <c r="J799" s="70" t="s">
        <v>119</v>
      </c>
      <c r="K799" s="70" t="s">
        <v>119</v>
      </c>
      <c r="L799" s="70" t="s">
        <v>595</v>
      </c>
      <c r="M799" s="38" t="s">
        <v>648</v>
      </c>
      <c r="N799" s="26">
        <v>78</v>
      </c>
      <c r="O799" s="57">
        <f>P799/N799</f>
        <v>0</v>
      </c>
      <c r="P799" s="62">
        <f>8034-8034</f>
        <v>0</v>
      </c>
      <c r="Q799" s="6" t="s">
        <v>616</v>
      </c>
      <c r="R799" s="6" t="s">
        <v>770</v>
      </c>
      <c r="S799" s="38" t="s">
        <v>2037</v>
      </c>
      <c r="T799" s="6">
        <v>0</v>
      </c>
    </row>
    <row r="800" spans="2:20" ht="63.75" outlineLevel="1">
      <c r="B800" s="6">
        <v>784</v>
      </c>
      <c r="C800" s="36" t="s">
        <v>714</v>
      </c>
      <c r="D800" s="37" t="s">
        <v>715</v>
      </c>
      <c r="E800" s="6" t="s">
        <v>607</v>
      </c>
      <c r="F800" s="70" t="s">
        <v>608</v>
      </c>
      <c r="G800" s="70" t="s">
        <v>609</v>
      </c>
      <c r="H800" s="70" t="s">
        <v>610</v>
      </c>
      <c r="I800" s="70" t="s">
        <v>611</v>
      </c>
      <c r="J800" s="70" t="s">
        <v>2264</v>
      </c>
      <c r="K800" s="70" t="s">
        <v>612</v>
      </c>
      <c r="L800" s="70" t="s">
        <v>595</v>
      </c>
      <c r="M800" s="6" t="s">
        <v>1483</v>
      </c>
      <c r="N800" s="26">
        <v>1791</v>
      </c>
      <c r="O800" s="57">
        <v>350</v>
      </c>
      <c r="P800" s="62">
        <f t="shared" si="13"/>
        <v>626850</v>
      </c>
      <c r="Q800" s="6" t="s">
        <v>395</v>
      </c>
      <c r="R800" s="6" t="s">
        <v>770</v>
      </c>
      <c r="S800" s="38" t="s">
        <v>2030</v>
      </c>
      <c r="T800" s="26">
        <v>0</v>
      </c>
    </row>
    <row r="801" spans="1:20" ht="53.25" customHeight="1" outlineLevel="1">
      <c r="B801" s="6">
        <v>785</v>
      </c>
      <c r="C801" s="36" t="s">
        <v>714</v>
      </c>
      <c r="D801" s="37" t="s">
        <v>715</v>
      </c>
      <c r="E801" s="12" t="s">
        <v>1349</v>
      </c>
      <c r="F801" s="70" t="s">
        <v>2991</v>
      </c>
      <c r="G801" s="70" t="s">
        <v>1350</v>
      </c>
      <c r="H801" s="70" t="s">
        <v>1738</v>
      </c>
      <c r="I801" s="70" t="s">
        <v>1351</v>
      </c>
      <c r="J801" s="70" t="s">
        <v>1739</v>
      </c>
      <c r="K801" s="70" t="s">
        <v>1352</v>
      </c>
      <c r="L801" s="70" t="s">
        <v>595</v>
      </c>
      <c r="M801" s="38" t="s">
        <v>648</v>
      </c>
      <c r="N801" s="26">
        <v>20</v>
      </c>
      <c r="O801" s="57">
        <v>17857</v>
      </c>
      <c r="P801" s="62">
        <f t="shared" si="13"/>
        <v>357140</v>
      </c>
      <c r="Q801" s="6" t="s">
        <v>397</v>
      </c>
      <c r="R801" s="6" t="s">
        <v>398</v>
      </c>
      <c r="S801" s="38" t="s">
        <v>1179</v>
      </c>
      <c r="T801" s="6">
        <v>100</v>
      </c>
    </row>
    <row r="802" spans="1:20" ht="51" outlineLevel="1">
      <c r="B802" s="6">
        <v>786</v>
      </c>
      <c r="C802" s="16" t="s">
        <v>714</v>
      </c>
      <c r="D802" s="37" t="s">
        <v>715</v>
      </c>
      <c r="E802" s="6" t="s">
        <v>675</v>
      </c>
      <c r="F802" s="70" t="s">
        <v>20</v>
      </c>
      <c r="G802" s="70" t="s">
        <v>20</v>
      </c>
      <c r="H802" s="70" t="s">
        <v>2237</v>
      </c>
      <c r="I802" s="70" t="s">
        <v>772</v>
      </c>
      <c r="J802" s="70" t="s">
        <v>20</v>
      </c>
      <c r="K802" s="70" t="s">
        <v>20</v>
      </c>
      <c r="L802" s="70" t="s">
        <v>595</v>
      </c>
      <c r="M802" s="38" t="s">
        <v>648</v>
      </c>
      <c r="N802" s="10">
        <v>53</v>
      </c>
      <c r="O802" s="57">
        <v>204</v>
      </c>
      <c r="P802" s="62">
        <f t="shared" si="13"/>
        <v>10812</v>
      </c>
      <c r="Q802" s="6" t="s">
        <v>519</v>
      </c>
      <c r="R802" s="6" t="s">
        <v>770</v>
      </c>
      <c r="S802" s="38" t="s">
        <v>2038</v>
      </c>
      <c r="T802" s="26">
        <v>100</v>
      </c>
    </row>
    <row r="803" spans="1:20" ht="38.25" outlineLevel="1">
      <c r="B803" s="6">
        <v>787</v>
      </c>
      <c r="C803" s="16" t="s">
        <v>714</v>
      </c>
      <c r="D803" s="37" t="s">
        <v>715</v>
      </c>
      <c r="E803" s="12" t="s">
        <v>485</v>
      </c>
      <c r="F803" s="70" t="s">
        <v>2239</v>
      </c>
      <c r="G803" s="70" t="s">
        <v>2239</v>
      </c>
      <c r="H803" s="70" t="s">
        <v>2240</v>
      </c>
      <c r="I803" s="70" t="s">
        <v>1277</v>
      </c>
      <c r="J803" s="70" t="s">
        <v>2241</v>
      </c>
      <c r="K803" s="70" t="s">
        <v>387</v>
      </c>
      <c r="L803" s="70" t="s">
        <v>595</v>
      </c>
      <c r="M803" s="38" t="s">
        <v>648</v>
      </c>
      <c r="N803" s="10">
        <v>57</v>
      </c>
      <c r="O803" s="57">
        <v>138</v>
      </c>
      <c r="P803" s="62">
        <f t="shared" si="13"/>
        <v>7866</v>
      </c>
      <c r="Q803" s="6" t="s">
        <v>519</v>
      </c>
      <c r="R803" s="6" t="s">
        <v>943</v>
      </c>
      <c r="S803" s="38" t="s">
        <v>1025</v>
      </c>
      <c r="T803" s="6">
        <v>100</v>
      </c>
    </row>
    <row r="804" spans="1:20" ht="38.25" outlineLevel="1">
      <c r="B804" s="6">
        <v>788</v>
      </c>
      <c r="C804" s="16" t="s">
        <v>714</v>
      </c>
      <c r="D804" s="37" t="s">
        <v>715</v>
      </c>
      <c r="E804" s="12" t="s">
        <v>485</v>
      </c>
      <c r="F804" s="70" t="s">
        <v>2239</v>
      </c>
      <c r="G804" s="70" t="s">
        <v>2239</v>
      </c>
      <c r="H804" s="70" t="s">
        <v>2240</v>
      </c>
      <c r="I804" s="70" t="s">
        <v>1277</v>
      </c>
      <c r="J804" s="70" t="s">
        <v>2241</v>
      </c>
      <c r="K804" s="70" t="s">
        <v>387</v>
      </c>
      <c r="L804" s="70" t="s">
        <v>595</v>
      </c>
      <c r="M804" s="38" t="s">
        <v>648</v>
      </c>
      <c r="N804" s="10">
        <v>26</v>
      </c>
      <c r="O804" s="57">
        <v>211</v>
      </c>
      <c r="P804" s="62">
        <f t="shared" si="13"/>
        <v>5486</v>
      </c>
      <c r="Q804" s="6" t="s">
        <v>395</v>
      </c>
      <c r="R804" s="6" t="s">
        <v>519</v>
      </c>
      <c r="S804" s="38" t="s">
        <v>793</v>
      </c>
      <c r="T804" s="6">
        <v>0</v>
      </c>
    </row>
    <row r="805" spans="1:20" s="14" customFormat="1" ht="38.25">
      <c r="A805" s="17"/>
      <c r="B805" s="6">
        <v>789</v>
      </c>
      <c r="C805" s="16" t="s">
        <v>714</v>
      </c>
      <c r="D805" s="37" t="s">
        <v>715</v>
      </c>
      <c r="E805" s="12" t="s">
        <v>485</v>
      </c>
      <c r="F805" s="70" t="s">
        <v>2239</v>
      </c>
      <c r="G805" s="70" t="s">
        <v>2239</v>
      </c>
      <c r="H805" s="70" t="s">
        <v>2240</v>
      </c>
      <c r="I805" s="70" t="s">
        <v>1277</v>
      </c>
      <c r="J805" s="70" t="s">
        <v>2241</v>
      </c>
      <c r="K805" s="70" t="s">
        <v>387</v>
      </c>
      <c r="L805" s="70" t="s">
        <v>595</v>
      </c>
      <c r="M805" s="38" t="s">
        <v>648</v>
      </c>
      <c r="N805" s="10">
        <v>20</v>
      </c>
      <c r="O805" s="57">
        <v>286</v>
      </c>
      <c r="P805" s="62">
        <f t="shared" si="13"/>
        <v>5720</v>
      </c>
      <c r="Q805" s="6" t="s">
        <v>395</v>
      </c>
      <c r="R805" s="16" t="s">
        <v>1028</v>
      </c>
      <c r="S805" s="38" t="s">
        <v>2031</v>
      </c>
      <c r="T805" s="26">
        <v>100</v>
      </c>
    </row>
    <row r="806" spans="1:20" ht="51">
      <c r="B806" s="6">
        <v>790</v>
      </c>
      <c r="C806" s="16" t="s">
        <v>714</v>
      </c>
      <c r="D806" s="37" t="s">
        <v>715</v>
      </c>
      <c r="E806" s="12" t="s">
        <v>485</v>
      </c>
      <c r="F806" s="70" t="s">
        <v>2239</v>
      </c>
      <c r="G806" s="70" t="s">
        <v>2239</v>
      </c>
      <c r="H806" s="70" t="s">
        <v>2240</v>
      </c>
      <c r="I806" s="70" t="s">
        <v>1277</v>
      </c>
      <c r="J806" s="70" t="s">
        <v>2241</v>
      </c>
      <c r="K806" s="70" t="s">
        <v>387</v>
      </c>
      <c r="L806" s="70" t="s">
        <v>595</v>
      </c>
      <c r="M806" s="38" t="s">
        <v>648</v>
      </c>
      <c r="N806" s="26">
        <v>44</v>
      </c>
      <c r="O806" s="57">
        <v>207</v>
      </c>
      <c r="P806" s="62">
        <f t="shared" si="13"/>
        <v>9108</v>
      </c>
      <c r="Q806" s="6" t="s">
        <v>397</v>
      </c>
      <c r="R806" s="6" t="s">
        <v>770</v>
      </c>
      <c r="S806" s="38" t="s">
        <v>637</v>
      </c>
      <c r="T806" s="26">
        <v>0</v>
      </c>
    </row>
    <row r="807" spans="1:20" ht="51" outlineLevel="1">
      <c r="B807" s="6">
        <v>791</v>
      </c>
      <c r="C807" s="16" t="s">
        <v>714</v>
      </c>
      <c r="D807" s="37" t="s">
        <v>715</v>
      </c>
      <c r="E807" s="12" t="s">
        <v>485</v>
      </c>
      <c r="F807" s="70" t="s">
        <v>2239</v>
      </c>
      <c r="G807" s="70" t="s">
        <v>2239</v>
      </c>
      <c r="H807" s="70" t="s">
        <v>2240</v>
      </c>
      <c r="I807" s="70" t="s">
        <v>1277</v>
      </c>
      <c r="J807" s="70" t="s">
        <v>2241</v>
      </c>
      <c r="K807" s="70" t="s">
        <v>387</v>
      </c>
      <c r="L807" s="70" t="s">
        <v>595</v>
      </c>
      <c r="M807" s="38" t="s">
        <v>648</v>
      </c>
      <c r="N807" s="10">
        <v>100</v>
      </c>
      <c r="O807" s="57">
        <v>262</v>
      </c>
      <c r="P807" s="62">
        <f t="shared" si="13"/>
        <v>26200</v>
      </c>
      <c r="Q807" s="6" t="s">
        <v>505</v>
      </c>
      <c r="R807" s="6" t="s">
        <v>770</v>
      </c>
      <c r="S807" s="38">
        <v>311000000</v>
      </c>
      <c r="T807" s="26">
        <v>30</v>
      </c>
    </row>
    <row r="808" spans="1:20" ht="51" outlineLevel="1">
      <c r="B808" s="6">
        <v>792</v>
      </c>
      <c r="C808" s="16" t="s">
        <v>714</v>
      </c>
      <c r="D808" s="37" t="s">
        <v>715</v>
      </c>
      <c r="E808" s="12" t="s">
        <v>485</v>
      </c>
      <c r="F808" s="70" t="s">
        <v>2239</v>
      </c>
      <c r="G808" s="70" t="s">
        <v>2239</v>
      </c>
      <c r="H808" s="70" t="s">
        <v>2240</v>
      </c>
      <c r="I808" s="70" t="s">
        <v>1277</v>
      </c>
      <c r="J808" s="70" t="s">
        <v>2241</v>
      </c>
      <c r="K808" s="70" t="s">
        <v>387</v>
      </c>
      <c r="L808" s="70" t="s">
        <v>595</v>
      </c>
      <c r="M808" s="38" t="s">
        <v>648</v>
      </c>
      <c r="N808" s="10">
        <v>10</v>
      </c>
      <c r="O808" s="57">
        <v>371</v>
      </c>
      <c r="P808" s="62">
        <f t="shared" si="13"/>
        <v>3710</v>
      </c>
      <c r="Q808" s="6" t="s">
        <v>397</v>
      </c>
      <c r="R808" s="6" t="s">
        <v>770</v>
      </c>
      <c r="S808" s="38" t="s">
        <v>2032</v>
      </c>
      <c r="T808" s="6">
        <v>100</v>
      </c>
    </row>
    <row r="809" spans="1:20" ht="51" outlineLevel="1">
      <c r="B809" s="6">
        <v>793</v>
      </c>
      <c r="C809" s="16" t="s">
        <v>714</v>
      </c>
      <c r="D809" s="37" t="s">
        <v>715</v>
      </c>
      <c r="E809" s="12" t="s">
        <v>485</v>
      </c>
      <c r="F809" s="70" t="s">
        <v>2239</v>
      </c>
      <c r="G809" s="70" t="s">
        <v>2239</v>
      </c>
      <c r="H809" s="70" t="s">
        <v>2240</v>
      </c>
      <c r="I809" s="70" t="s">
        <v>1277</v>
      </c>
      <c r="J809" s="70" t="s">
        <v>2241</v>
      </c>
      <c r="K809" s="70" t="s">
        <v>387</v>
      </c>
      <c r="L809" s="70" t="s">
        <v>595</v>
      </c>
      <c r="M809" s="38" t="s">
        <v>648</v>
      </c>
      <c r="N809" s="10">
        <v>20</v>
      </c>
      <c r="O809" s="57">
        <v>165</v>
      </c>
      <c r="P809" s="62">
        <f t="shared" si="13"/>
        <v>3300</v>
      </c>
      <c r="Q809" s="6" t="s">
        <v>397</v>
      </c>
      <c r="R809" s="6" t="s">
        <v>770</v>
      </c>
      <c r="S809" s="38">
        <v>351000000</v>
      </c>
      <c r="T809" s="26">
        <v>0</v>
      </c>
    </row>
    <row r="810" spans="1:20" ht="51" outlineLevel="1">
      <c r="B810" s="6">
        <v>794</v>
      </c>
      <c r="C810" s="16" t="s">
        <v>714</v>
      </c>
      <c r="D810" s="37" t="s">
        <v>715</v>
      </c>
      <c r="E810" s="12" t="s">
        <v>485</v>
      </c>
      <c r="F810" s="70" t="s">
        <v>2239</v>
      </c>
      <c r="G810" s="70" t="s">
        <v>2239</v>
      </c>
      <c r="H810" s="70" t="s">
        <v>2240</v>
      </c>
      <c r="I810" s="70" t="s">
        <v>1277</v>
      </c>
      <c r="J810" s="70" t="s">
        <v>2241</v>
      </c>
      <c r="K810" s="70" t="s">
        <v>387</v>
      </c>
      <c r="L810" s="70" t="s">
        <v>595</v>
      </c>
      <c r="M810" s="38" t="s">
        <v>648</v>
      </c>
      <c r="N810" s="10">
        <v>64</v>
      </c>
      <c r="O810" s="57">
        <v>102</v>
      </c>
      <c r="P810" s="62">
        <f t="shared" si="13"/>
        <v>6528</v>
      </c>
      <c r="Q810" s="6" t="s">
        <v>395</v>
      </c>
      <c r="R810" s="6" t="s">
        <v>770</v>
      </c>
      <c r="S810" s="38" t="s">
        <v>929</v>
      </c>
      <c r="T810" s="26">
        <v>0</v>
      </c>
    </row>
    <row r="811" spans="1:20" ht="51" outlineLevel="1">
      <c r="B811" s="6">
        <v>795</v>
      </c>
      <c r="C811" s="16" t="s">
        <v>714</v>
      </c>
      <c r="D811" s="37" t="s">
        <v>715</v>
      </c>
      <c r="E811" s="12" t="s">
        <v>485</v>
      </c>
      <c r="F811" s="70" t="s">
        <v>2239</v>
      </c>
      <c r="G811" s="70" t="s">
        <v>2239</v>
      </c>
      <c r="H811" s="70" t="s">
        <v>2240</v>
      </c>
      <c r="I811" s="70" t="s">
        <v>1277</v>
      </c>
      <c r="J811" s="70" t="s">
        <v>2241</v>
      </c>
      <c r="K811" s="70" t="s">
        <v>387</v>
      </c>
      <c r="L811" s="70" t="s">
        <v>595</v>
      </c>
      <c r="M811" s="38" t="s">
        <v>648</v>
      </c>
      <c r="N811" s="10">
        <v>51</v>
      </c>
      <c r="O811" s="57">
        <v>265</v>
      </c>
      <c r="P811" s="62">
        <f t="shared" si="13"/>
        <v>13515</v>
      </c>
      <c r="Q811" s="6" t="s">
        <v>397</v>
      </c>
      <c r="R811" s="6" t="s">
        <v>770</v>
      </c>
      <c r="S811" s="38">
        <v>431000000</v>
      </c>
      <c r="T811" s="26">
        <v>0</v>
      </c>
    </row>
    <row r="812" spans="1:20" ht="51" outlineLevel="1">
      <c r="B812" s="6">
        <v>796</v>
      </c>
      <c r="C812" s="16" t="s">
        <v>714</v>
      </c>
      <c r="D812" s="37" t="s">
        <v>715</v>
      </c>
      <c r="E812" s="12" t="s">
        <v>485</v>
      </c>
      <c r="F812" s="70" t="s">
        <v>2239</v>
      </c>
      <c r="G812" s="70" t="s">
        <v>2239</v>
      </c>
      <c r="H812" s="70" t="s">
        <v>2240</v>
      </c>
      <c r="I812" s="70" t="s">
        <v>1277</v>
      </c>
      <c r="J812" s="70" t="s">
        <v>2241</v>
      </c>
      <c r="K812" s="70" t="s">
        <v>387</v>
      </c>
      <c r="L812" s="70" t="s">
        <v>595</v>
      </c>
      <c r="M812" s="38" t="s">
        <v>648</v>
      </c>
      <c r="N812" s="10">
        <v>38</v>
      </c>
      <c r="O812" s="57">
        <v>127</v>
      </c>
      <c r="P812" s="62">
        <f t="shared" si="13"/>
        <v>4826</v>
      </c>
      <c r="Q812" s="6" t="s">
        <v>519</v>
      </c>
      <c r="R812" s="6" t="s">
        <v>770</v>
      </c>
      <c r="S812" s="38" t="s">
        <v>719</v>
      </c>
      <c r="T812" s="26">
        <v>100</v>
      </c>
    </row>
    <row r="813" spans="1:20" s="39" customFormat="1" ht="38.25">
      <c r="B813" s="6">
        <v>797</v>
      </c>
      <c r="C813" s="16" t="s">
        <v>714</v>
      </c>
      <c r="D813" s="37" t="s">
        <v>715</v>
      </c>
      <c r="E813" s="12" t="s">
        <v>485</v>
      </c>
      <c r="F813" s="70" t="s">
        <v>2239</v>
      </c>
      <c r="G813" s="70" t="s">
        <v>2239</v>
      </c>
      <c r="H813" s="70" t="s">
        <v>2240</v>
      </c>
      <c r="I813" s="70" t="s">
        <v>1277</v>
      </c>
      <c r="J813" s="70" t="s">
        <v>2241</v>
      </c>
      <c r="K813" s="70" t="s">
        <v>387</v>
      </c>
      <c r="L813" s="70" t="s">
        <v>595</v>
      </c>
      <c r="M813" s="38" t="s">
        <v>648</v>
      </c>
      <c r="N813" s="10">
        <v>54</v>
      </c>
      <c r="O813" s="57">
        <v>56</v>
      </c>
      <c r="P813" s="62">
        <f t="shared" si="13"/>
        <v>3024</v>
      </c>
      <c r="Q813" s="6" t="s">
        <v>395</v>
      </c>
      <c r="R813" s="6" t="s">
        <v>519</v>
      </c>
      <c r="S813" s="38">
        <v>551000000</v>
      </c>
      <c r="T813" s="26">
        <v>100</v>
      </c>
    </row>
    <row r="814" spans="1:20" ht="38.25" outlineLevel="1">
      <c r="B814" s="6">
        <v>798</v>
      </c>
      <c r="C814" s="16" t="s">
        <v>714</v>
      </c>
      <c r="D814" s="37" t="s">
        <v>715</v>
      </c>
      <c r="E814" s="12" t="s">
        <v>485</v>
      </c>
      <c r="F814" s="70" t="s">
        <v>2239</v>
      </c>
      <c r="G814" s="70" t="s">
        <v>2239</v>
      </c>
      <c r="H814" s="70" t="s">
        <v>2240</v>
      </c>
      <c r="I814" s="70" t="s">
        <v>1277</v>
      </c>
      <c r="J814" s="70" t="s">
        <v>2241</v>
      </c>
      <c r="K814" s="70" t="s">
        <v>387</v>
      </c>
      <c r="L814" s="70" t="s">
        <v>595</v>
      </c>
      <c r="M814" s="38" t="s">
        <v>648</v>
      </c>
      <c r="N814" s="10">
        <v>20</v>
      </c>
      <c r="O814" s="57">
        <v>96</v>
      </c>
      <c r="P814" s="62">
        <f t="shared" si="13"/>
        <v>1920</v>
      </c>
      <c r="Q814" s="6" t="s">
        <v>519</v>
      </c>
      <c r="R814" s="6" t="s">
        <v>616</v>
      </c>
      <c r="S814" s="38">
        <v>591000000</v>
      </c>
      <c r="T814" s="26">
        <v>0</v>
      </c>
    </row>
    <row r="815" spans="1:20" ht="51" outlineLevel="1">
      <c r="B815" s="6">
        <v>799</v>
      </c>
      <c r="C815" s="16" t="s">
        <v>714</v>
      </c>
      <c r="D815" s="37" t="s">
        <v>715</v>
      </c>
      <c r="E815" s="12" t="s">
        <v>485</v>
      </c>
      <c r="F815" s="70" t="s">
        <v>2239</v>
      </c>
      <c r="G815" s="70" t="s">
        <v>2239</v>
      </c>
      <c r="H815" s="70" t="s">
        <v>2240</v>
      </c>
      <c r="I815" s="70" t="s">
        <v>1277</v>
      </c>
      <c r="J815" s="70" t="s">
        <v>2241</v>
      </c>
      <c r="K815" s="70" t="s">
        <v>387</v>
      </c>
      <c r="L815" s="70" t="s">
        <v>595</v>
      </c>
      <c r="M815" s="38" t="s">
        <v>648</v>
      </c>
      <c r="N815" s="10">
        <v>44</v>
      </c>
      <c r="O815" s="57">
        <f>P815/N815</f>
        <v>0</v>
      </c>
      <c r="P815" s="62">
        <f>3652-3652</f>
        <v>0</v>
      </c>
      <c r="Q815" s="38" t="s">
        <v>395</v>
      </c>
      <c r="R815" s="6" t="s">
        <v>770</v>
      </c>
      <c r="S815" s="38" t="s">
        <v>2037</v>
      </c>
      <c r="T815" s="6">
        <v>0</v>
      </c>
    </row>
    <row r="816" spans="1:20" ht="51" outlineLevel="1">
      <c r="B816" s="6">
        <v>800</v>
      </c>
      <c r="C816" s="16" t="s">
        <v>714</v>
      </c>
      <c r="D816" s="37" t="s">
        <v>715</v>
      </c>
      <c r="E816" s="12" t="s">
        <v>485</v>
      </c>
      <c r="F816" s="70" t="s">
        <v>2239</v>
      </c>
      <c r="G816" s="70" t="s">
        <v>2239</v>
      </c>
      <c r="H816" s="70" t="s">
        <v>2240</v>
      </c>
      <c r="I816" s="70" t="s">
        <v>1277</v>
      </c>
      <c r="J816" s="70" t="s">
        <v>2241</v>
      </c>
      <c r="K816" s="70" t="s">
        <v>387</v>
      </c>
      <c r="L816" s="70" t="s">
        <v>595</v>
      </c>
      <c r="M816" s="38" t="s">
        <v>648</v>
      </c>
      <c r="N816" s="10">
        <v>20</v>
      </c>
      <c r="O816" s="57">
        <v>96</v>
      </c>
      <c r="P816" s="62">
        <f t="shared" si="13"/>
        <v>1920</v>
      </c>
      <c r="Q816" s="6" t="s">
        <v>397</v>
      </c>
      <c r="R816" s="6" t="s">
        <v>770</v>
      </c>
      <c r="S816" s="38" t="s">
        <v>2030</v>
      </c>
      <c r="T816" s="26">
        <v>0</v>
      </c>
    </row>
    <row r="817" spans="1:20" ht="38.25" outlineLevel="1">
      <c r="A817" s="61"/>
      <c r="B817" s="6">
        <v>801</v>
      </c>
      <c r="C817" s="16" t="s">
        <v>714</v>
      </c>
      <c r="D817" s="37" t="s">
        <v>715</v>
      </c>
      <c r="E817" s="12" t="s">
        <v>485</v>
      </c>
      <c r="F817" s="70" t="s">
        <v>2239</v>
      </c>
      <c r="G817" s="70" t="s">
        <v>2239</v>
      </c>
      <c r="H817" s="70" t="s">
        <v>2240</v>
      </c>
      <c r="I817" s="70" t="s">
        <v>1277</v>
      </c>
      <c r="J817" s="70" t="s">
        <v>2241</v>
      </c>
      <c r="K817" s="70" t="s">
        <v>387</v>
      </c>
      <c r="L817" s="70" t="s">
        <v>595</v>
      </c>
      <c r="M817" s="38" t="s">
        <v>648</v>
      </c>
      <c r="N817" s="10">
        <v>44</v>
      </c>
      <c r="O817" s="57">
        <v>83</v>
      </c>
      <c r="P817" s="62">
        <f t="shared" si="13"/>
        <v>3652</v>
      </c>
      <c r="Q817" s="6" t="s">
        <v>395</v>
      </c>
      <c r="R817" s="6" t="s">
        <v>395</v>
      </c>
      <c r="S817" s="38" t="s">
        <v>2035</v>
      </c>
      <c r="T817" s="26">
        <v>0</v>
      </c>
    </row>
    <row r="818" spans="1:20" ht="25.5" outlineLevel="1">
      <c r="B818" s="6">
        <v>802</v>
      </c>
      <c r="C818" s="36" t="s">
        <v>714</v>
      </c>
      <c r="D818" s="37" t="s">
        <v>715</v>
      </c>
      <c r="E818" s="11" t="s">
        <v>486</v>
      </c>
      <c r="F818" s="70" t="s">
        <v>853</v>
      </c>
      <c r="G818" s="70" t="s">
        <v>388</v>
      </c>
      <c r="H818" s="70" t="s">
        <v>853</v>
      </c>
      <c r="I818" s="70" t="s">
        <v>388</v>
      </c>
      <c r="J818" s="70" t="s">
        <v>853</v>
      </c>
      <c r="K818" s="70" t="s">
        <v>388</v>
      </c>
      <c r="L818" s="70" t="s">
        <v>595</v>
      </c>
      <c r="M818" s="38" t="s">
        <v>648</v>
      </c>
      <c r="N818" s="10">
        <v>2</v>
      </c>
      <c r="O818" s="57">
        <v>554</v>
      </c>
      <c r="P818" s="62">
        <f t="shared" si="13"/>
        <v>1108</v>
      </c>
      <c r="Q818" s="6" t="s">
        <v>519</v>
      </c>
      <c r="R818" s="6" t="s">
        <v>943</v>
      </c>
      <c r="S818" s="38" t="s">
        <v>1025</v>
      </c>
      <c r="T818" s="6">
        <v>100</v>
      </c>
    </row>
    <row r="819" spans="1:20" ht="25.5" outlineLevel="1">
      <c r="B819" s="6">
        <v>803</v>
      </c>
      <c r="C819" s="36" t="s">
        <v>714</v>
      </c>
      <c r="D819" s="37" t="s">
        <v>715</v>
      </c>
      <c r="E819" s="11" t="s">
        <v>486</v>
      </c>
      <c r="F819" s="70" t="s">
        <v>853</v>
      </c>
      <c r="G819" s="70" t="s">
        <v>388</v>
      </c>
      <c r="H819" s="70" t="s">
        <v>853</v>
      </c>
      <c r="I819" s="70" t="s">
        <v>388</v>
      </c>
      <c r="J819" s="70" t="s">
        <v>853</v>
      </c>
      <c r="K819" s="70" t="s">
        <v>388</v>
      </c>
      <c r="L819" s="70" t="s">
        <v>595</v>
      </c>
      <c r="M819" s="38" t="s">
        <v>648</v>
      </c>
      <c r="N819" s="10">
        <v>2</v>
      </c>
      <c r="O819" s="57">
        <v>500</v>
      </c>
      <c r="P819" s="62">
        <f t="shared" si="13"/>
        <v>1000</v>
      </c>
      <c r="Q819" s="6" t="s">
        <v>395</v>
      </c>
      <c r="R819" s="6" t="s">
        <v>519</v>
      </c>
      <c r="S819" s="38" t="s">
        <v>793</v>
      </c>
      <c r="T819" s="6">
        <v>0</v>
      </c>
    </row>
    <row r="820" spans="1:20" ht="51" outlineLevel="1">
      <c r="B820" s="6">
        <v>804</v>
      </c>
      <c r="C820" s="36" t="s">
        <v>714</v>
      </c>
      <c r="D820" s="37" t="s">
        <v>715</v>
      </c>
      <c r="E820" s="11" t="s">
        <v>486</v>
      </c>
      <c r="F820" s="70" t="s">
        <v>853</v>
      </c>
      <c r="G820" s="70" t="s">
        <v>388</v>
      </c>
      <c r="H820" s="70" t="s">
        <v>853</v>
      </c>
      <c r="I820" s="70" t="s">
        <v>388</v>
      </c>
      <c r="J820" s="70" t="s">
        <v>853</v>
      </c>
      <c r="K820" s="70" t="s">
        <v>388</v>
      </c>
      <c r="L820" s="70" t="s">
        <v>595</v>
      </c>
      <c r="M820" s="38" t="s">
        <v>648</v>
      </c>
      <c r="N820" s="10">
        <v>2</v>
      </c>
      <c r="O820" s="57">
        <v>179</v>
      </c>
      <c r="P820" s="62">
        <f t="shared" si="13"/>
        <v>358</v>
      </c>
      <c r="Q820" s="6" t="s">
        <v>397</v>
      </c>
      <c r="R820" s="6" t="s">
        <v>770</v>
      </c>
      <c r="S820" s="38" t="s">
        <v>637</v>
      </c>
      <c r="T820" s="26">
        <v>0</v>
      </c>
    </row>
    <row r="821" spans="1:20" ht="51" outlineLevel="1">
      <c r="B821" s="6">
        <v>805</v>
      </c>
      <c r="C821" s="36" t="s">
        <v>714</v>
      </c>
      <c r="D821" s="37" t="s">
        <v>715</v>
      </c>
      <c r="E821" s="11" t="s">
        <v>486</v>
      </c>
      <c r="F821" s="70" t="s">
        <v>853</v>
      </c>
      <c r="G821" s="70" t="s">
        <v>388</v>
      </c>
      <c r="H821" s="70" t="s">
        <v>853</v>
      </c>
      <c r="I821" s="70" t="s">
        <v>388</v>
      </c>
      <c r="J821" s="70" t="s">
        <v>853</v>
      </c>
      <c r="K821" s="70" t="s">
        <v>388</v>
      </c>
      <c r="L821" s="70" t="s">
        <v>595</v>
      </c>
      <c r="M821" s="38" t="s">
        <v>648</v>
      </c>
      <c r="N821" s="10">
        <v>2</v>
      </c>
      <c r="O821" s="57">
        <v>800</v>
      </c>
      <c r="P821" s="62">
        <f t="shared" si="13"/>
        <v>1600</v>
      </c>
      <c r="Q821" s="6" t="s">
        <v>397</v>
      </c>
      <c r="R821" s="6" t="s">
        <v>770</v>
      </c>
      <c r="S821" s="38" t="s">
        <v>2032</v>
      </c>
      <c r="T821" s="6">
        <v>100</v>
      </c>
    </row>
    <row r="822" spans="1:20" ht="51" outlineLevel="1">
      <c r="B822" s="6">
        <v>806</v>
      </c>
      <c r="C822" s="36" t="s">
        <v>714</v>
      </c>
      <c r="D822" s="37" t="s">
        <v>715</v>
      </c>
      <c r="E822" s="11" t="s">
        <v>486</v>
      </c>
      <c r="F822" s="70" t="s">
        <v>853</v>
      </c>
      <c r="G822" s="70" t="s">
        <v>388</v>
      </c>
      <c r="H822" s="70" t="s">
        <v>853</v>
      </c>
      <c r="I822" s="70" t="s">
        <v>388</v>
      </c>
      <c r="J822" s="70" t="s">
        <v>853</v>
      </c>
      <c r="K822" s="70" t="s">
        <v>388</v>
      </c>
      <c r="L822" s="70" t="s">
        <v>595</v>
      </c>
      <c r="M822" s="38" t="s">
        <v>648</v>
      </c>
      <c r="N822" s="10">
        <v>6</v>
      </c>
      <c r="O822" s="57">
        <v>346</v>
      </c>
      <c r="P822" s="62">
        <f t="shared" si="13"/>
        <v>2076</v>
      </c>
      <c r="Q822" s="6" t="s">
        <v>397</v>
      </c>
      <c r="R822" s="6" t="s">
        <v>770</v>
      </c>
      <c r="S822" s="38">
        <v>351000000</v>
      </c>
      <c r="T822" s="26">
        <v>0</v>
      </c>
    </row>
    <row r="823" spans="1:20" ht="51" outlineLevel="1">
      <c r="B823" s="6">
        <v>807</v>
      </c>
      <c r="C823" s="36" t="s">
        <v>714</v>
      </c>
      <c r="D823" s="37" t="s">
        <v>715</v>
      </c>
      <c r="E823" s="11" t="s">
        <v>486</v>
      </c>
      <c r="F823" s="70" t="s">
        <v>853</v>
      </c>
      <c r="G823" s="70" t="s">
        <v>388</v>
      </c>
      <c r="H823" s="70" t="s">
        <v>853</v>
      </c>
      <c r="I823" s="70" t="s">
        <v>388</v>
      </c>
      <c r="J823" s="70" t="s">
        <v>853</v>
      </c>
      <c r="K823" s="70" t="s">
        <v>388</v>
      </c>
      <c r="L823" s="70" t="s">
        <v>595</v>
      </c>
      <c r="M823" s="38" t="s">
        <v>648</v>
      </c>
      <c r="N823" s="10">
        <v>2</v>
      </c>
      <c r="O823" s="57">
        <v>1589</v>
      </c>
      <c r="P823" s="62">
        <f t="shared" si="13"/>
        <v>3178</v>
      </c>
      <c r="Q823" s="6" t="s">
        <v>395</v>
      </c>
      <c r="R823" s="6" t="s">
        <v>770</v>
      </c>
      <c r="S823" s="38" t="s">
        <v>929</v>
      </c>
      <c r="T823" s="26">
        <v>0</v>
      </c>
    </row>
    <row r="824" spans="1:20" s="14" customFormat="1" ht="51">
      <c r="A824" s="2"/>
      <c r="B824" s="6">
        <v>808</v>
      </c>
      <c r="C824" s="36" t="s">
        <v>714</v>
      </c>
      <c r="D824" s="37" t="s">
        <v>715</v>
      </c>
      <c r="E824" s="11" t="s">
        <v>486</v>
      </c>
      <c r="F824" s="70" t="s">
        <v>853</v>
      </c>
      <c r="G824" s="70" t="s">
        <v>388</v>
      </c>
      <c r="H824" s="70" t="s">
        <v>853</v>
      </c>
      <c r="I824" s="70" t="s">
        <v>388</v>
      </c>
      <c r="J824" s="70" t="s">
        <v>853</v>
      </c>
      <c r="K824" s="70" t="s">
        <v>388</v>
      </c>
      <c r="L824" s="70" t="s">
        <v>595</v>
      </c>
      <c r="M824" s="38" t="s">
        <v>648</v>
      </c>
      <c r="N824" s="10">
        <v>1</v>
      </c>
      <c r="O824" s="57">
        <v>500</v>
      </c>
      <c r="P824" s="62">
        <f t="shared" si="13"/>
        <v>500</v>
      </c>
      <c r="Q824" s="6" t="s">
        <v>397</v>
      </c>
      <c r="R824" s="6" t="s">
        <v>770</v>
      </c>
      <c r="S824" s="38">
        <v>431000000</v>
      </c>
      <c r="T824" s="26">
        <v>0</v>
      </c>
    </row>
    <row r="825" spans="1:20" ht="51" outlineLevel="1">
      <c r="B825" s="6">
        <v>809</v>
      </c>
      <c r="C825" s="36" t="s">
        <v>714</v>
      </c>
      <c r="D825" s="37" t="s">
        <v>715</v>
      </c>
      <c r="E825" s="11" t="s">
        <v>486</v>
      </c>
      <c r="F825" s="70" t="s">
        <v>853</v>
      </c>
      <c r="G825" s="70" t="s">
        <v>388</v>
      </c>
      <c r="H825" s="70" t="s">
        <v>853</v>
      </c>
      <c r="I825" s="70" t="s">
        <v>388</v>
      </c>
      <c r="J825" s="70" t="s">
        <v>853</v>
      </c>
      <c r="K825" s="70" t="s">
        <v>388</v>
      </c>
      <c r="L825" s="70" t="s">
        <v>595</v>
      </c>
      <c r="M825" s="38" t="s">
        <v>648</v>
      </c>
      <c r="N825" s="10">
        <v>3</v>
      </c>
      <c r="O825" s="57">
        <v>1161</v>
      </c>
      <c r="P825" s="62">
        <f t="shared" si="13"/>
        <v>3483</v>
      </c>
      <c r="Q825" s="6" t="s">
        <v>519</v>
      </c>
      <c r="R825" s="6" t="s">
        <v>770</v>
      </c>
      <c r="S825" s="38" t="s">
        <v>719</v>
      </c>
      <c r="T825" s="26">
        <v>100</v>
      </c>
    </row>
    <row r="826" spans="1:20" s="39" customFormat="1" ht="33" customHeight="1">
      <c r="B826" s="6">
        <v>810</v>
      </c>
      <c r="C826" s="36" t="s">
        <v>714</v>
      </c>
      <c r="D826" s="37" t="s">
        <v>715</v>
      </c>
      <c r="E826" s="11" t="s">
        <v>486</v>
      </c>
      <c r="F826" s="70" t="s">
        <v>853</v>
      </c>
      <c r="G826" s="70" t="s">
        <v>388</v>
      </c>
      <c r="H826" s="70" t="s">
        <v>853</v>
      </c>
      <c r="I826" s="70" t="s">
        <v>388</v>
      </c>
      <c r="J826" s="70" t="s">
        <v>853</v>
      </c>
      <c r="K826" s="70" t="s">
        <v>388</v>
      </c>
      <c r="L826" s="70" t="s">
        <v>595</v>
      </c>
      <c r="M826" s="38" t="s">
        <v>648</v>
      </c>
      <c r="N826" s="10">
        <v>2</v>
      </c>
      <c r="O826" s="57">
        <v>1200</v>
      </c>
      <c r="P826" s="62">
        <f t="shared" si="13"/>
        <v>2400</v>
      </c>
      <c r="Q826" s="6" t="s">
        <v>395</v>
      </c>
      <c r="R826" s="6" t="s">
        <v>519</v>
      </c>
      <c r="S826" s="38">
        <v>551000000</v>
      </c>
      <c r="T826" s="26">
        <v>100</v>
      </c>
    </row>
    <row r="827" spans="1:20" ht="25.5" outlineLevel="1">
      <c r="B827" s="6">
        <v>811</v>
      </c>
      <c r="C827" s="36" t="s">
        <v>714</v>
      </c>
      <c r="D827" s="37" t="s">
        <v>715</v>
      </c>
      <c r="E827" s="11" t="s">
        <v>486</v>
      </c>
      <c r="F827" s="70" t="s">
        <v>853</v>
      </c>
      <c r="G827" s="70" t="s">
        <v>388</v>
      </c>
      <c r="H827" s="70" t="s">
        <v>853</v>
      </c>
      <c r="I827" s="70" t="s">
        <v>388</v>
      </c>
      <c r="J827" s="70" t="s">
        <v>853</v>
      </c>
      <c r="K827" s="70" t="s">
        <v>388</v>
      </c>
      <c r="L827" s="70" t="s">
        <v>595</v>
      </c>
      <c r="M827" s="38" t="s">
        <v>648</v>
      </c>
      <c r="N827" s="10">
        <v>3</v>
      </c>
      <c r="O827" s="57">
        <v>611</v>
      </c>
      <c r="P827" s="62">
        <f t="shared" si="13"/>
        <v>1833</v>
      </c>
      <c r="Q827" s="6" t="s">
        <v>519</v>
      </c>
      <c r="R827" s="6" t="s">
        <v>616</v>
      </c>
      <c r="S827" s="38">
        <v>591000000</v>
      </c>
      <c r="T827" s="26">
        <v>0</v>
      </c>
    </row>
    <row r="828" spans="1:20" ht="51" outlineLevel="1">
      <c r="B828" s="6">
        <v>812</v>
      </c>
      <c r="C828" s="36" t="s">
        <v>714</v>
      </c>
      <c r="D828" s="37" t="s">
        <v>715</v>
      </c>
      <c r="E828" s="11" t="s">
        <v>486</v>
      </c>
      <c r="F828" s="70" t="s">
        <v>853</v>
      </c>
      <c r="G828" s="70" t="s">
        <v>388</v>
      </c>
      <c r="H828" s="70" t="s">
        <v>853</v>
      </c>
      <c r="I828" s="70" t="s">
        <v>388</v>
      </c>
      <c r="J828" s="70" t="s">
        <v>853</v>
      </c>
      <c r="K828" s="70" t="s">
        <v>388</v>
      </c>
      <c r="L828" s="70" t="s">
        <v>595</v>
      </c>
      <c r="M828" s="38" t="s">
        <v>648</v>
      </c>
      <c r="N828" s="10">
        <v>2</v>
      </c>
      <c r="O828" s="57">
        <f>P828/N828</f>
        <v>0</v>
      </c>
      <c r="P828" s="62">
        <f>692-692</f>
        <v>0</v>
      </c>
      <c r="Q828" s="38" t="s">
        <v>395</v>
      </c>
      <c r="R828" s="6" t="s">
        <v>770</v>
      </c>
      <c r="S828" s="38" t="s">
        <v>2037</v>
      </c>
      <c r="T828" s="6">
        <v>0</v>
      </c>
    </row>
    <row r="829" spans="1:20" ht="51" outlineLevel="1">
      <c r="B829" s="6">
        <v>813</v>
      </c>
      <c r="C829" s="36" t="s">
        <v>714</v>
      </c>
      <c r="D829" s="37" t="s">
        <v>715</v>
      </c>
      <c r="E829" s="11" t="s">
        <v>777</v>
      </c>
      <c r="F829" s="70" t="s">
        <v>1014</v>
      </c>
      <c r="G829" s="70" t="s">
        <v>697</v>
      </c>
      <c r="H829" s="70" t="s">
        <v>2189</v>
      </c>
      <c r="I829" s="70" t="s">
        <v>778</v>
      </c>
      <c r="J829" s="70" t="s">
        <v>2190</v>
      </c>
      <c r="K829" s="70" t="s">
        <v>389</v>
      </c>
      <c r="L829" s="70" t="s">
        <v>595</v>
      </c>
      <c r="M829" s="38" t="s">
        <v>648</v>
      </c>
      <c r="N829" s="10">
        <v>1</v>
      </c>
      <c r="O829" s="57">
        <v>32411</v>
      </c>
      <c r="P829" s="62">
        <f t="shared" si="13"/>
        <v>32411</v>
      </c>
      <c r="Q829" s="6" t="s">
        <v>519</v>
      </c>
      <c r="R829" s="6" t="s">
        <v>770</v>
      </c>
      <c r="S829" s="38" t="s">
        <v>2038</v>
      </c>
      <c r="T829" s="26">
        <v>100</v>
      </c>
    </row>
    <row r="830" spans="1:20" ht="25.5" outlineLevel="1">
      <c r="B830" s="6">
        <v>814</v>
      </c>
      <c r="C830" s="36" t="s">
        <v>714</v>
      </c>
      <c r="D830" s="37" t="s">
        <v>715</v>
      </c>
      <c r="E830" s="11" t="s">
        <v>777</v>
      </c>
      <c r="F830" s="70" t="s">
        <v>1014</v>
      </c>
      <c r="G830" s="70" t="s">
        <v>697</v>
      </c>
      <c r="H830" s="70" t="s">
        <v>2189</v>
      </c>
      <c r="I830" s="70" t="s">
        <v>778</v>
      </c>
      <c r="J830" s="70" t="s">
        <v>2190</v>
      </c>
      <c r="K830" s="70" t="s">
        <v>389</v>
      </c>
      <c r="L830" s="70" t="s">
        <v>595</v>
      </c>
      <c r="M830" s="38" t="s">
        <v>648</v>
      </c>
      <c r="N830" s="10">
        <v>2</v>
      </c>
      <c r="O830" s="57">
        <f>P830/N830</f>
        <v>0</v>
      </c>
      <c r="P830" s="62">
        <f>20196-20196</f>
        <v>0</v>
      </c>
      <c r="Q830" s="6" t="s">
        <v>519</v>
      </c>
      <c r="R830" s="6" t="s">
        <v>943</v>
      </c>
      <c r="S830" s="38" t="s">
        <v>1025</v>
      </c>
      <c r="T830" s="6">
        <v>100</v>
      </c>
    </row>
    <row r="831" spans="1:20" s="14" customFormat="1" ht="25.5">
      <c r="A831" s="17"/>
      <c r="B831" s="6">
        <v>815</v>
      </c>
      <c r="C831" s="36" t="s">
        <v>714</v>
      </c>
      <c r="D831" s="37" t="s">
        <v>715</v>
      </c>
      <c r="E831" s="11" t="s">
        <v>777</v>
      </c>
      <c r="F831" s="70" t="s">
        <v>1014</v>
      </c>
      <c r="G831" s="70" t="s">
        <v>697</v>
      </c>
      <c r="H831" s="70" t="s">
        <v>2189</v>
      </c>
      <c r="I831" s="70" t="s">
        <v>778</v>
      </c>
      <c r="J831" s="70" t="s">
        <v>2190</v>
      </c>
      <c r="K831" s="70" t="s">
        <v>389</v>
      </c>
      <c r="L831" s="70" t="s">
        <v>595</v>
      </c>
      <c r="M831" s="38" t="s">
        <v>648</v>
      </c>
      <c r="N831" s="10">
        <v>1</v>
      </c>
      <c r="O831" s="57">
        <v>15179</v>
      </c>
      <c r="P831" s="62">
        <f t="shared" si="13"/>
        <v>15179</v>
      </c>
      <c r="Q831" s="6" t="s">
        <v>395</v>
      </c>
      <c r="R831" s="16" t="s">
        <v>1028</v>
      </c>
      <c r="S831" s="38" t="s">
        <v>2031</v>
      </c>
      <c r="T831" s="26">
        <v>100</v>
      </c>
    </row>
    <row r="832" spans="1:20" ht="51" outlineLevel="1">
      <c r="B832" s="6">
        <v>816</v>
      </c>
      <c r="C832" s="36" t="s">
        <v>714</v>
      </c>
      <c r="D832" s="37" t="s">
        <v>715</v>
      </c>
      <c r="E832" s="11" t="s">
        <v>777</v>
      </c>
      <c r="F832" s="70" t="s">
        <v>1014</v>
      </c>
      <c r="G832" s="70" t="s">
        <v>697</v>
      </c>
      <c r="H832" s="70" t="s">
        <v>2189</v>
      </c>
      <c r="I832" s="70" t="s">
        <v>778</v>
      </c>
      <c r="J832" s="70" t="s">
        <v>2190</v>
      </c>
      <c r="K832" s="70" t="s">
        <v>389</v>
      </c>
      <c r="L832" s="70" t="s">
        <v>595</v>
      </c>
      <c r="M832" s="38" t="s">
        <v>648</v>
      </c>
      <c r="N832" s="10">
        <v>2</v>
      </c>
      <c r="O832" s="57">
        <v>19185</v>
      </c>
      <c r="P832" s="62">
        <f t="shared" si="13"/>
        <v>38370</v>
      </c>
      <c r="Q832" s="6" t="s">
        <v>397</v>
      </c>
      <c r="R832" s="6" t="s">
        <v>770</v>
      </c>
      <c r="S832" s="38" t="s">
        <v>637</v>
      </c>
      <c r="T832" s="26">
        <v>0</v>
      </c>
    </row>
    <row r="833" spans="1:20" ht="51" outlineLevel="1">
      <c r="B833" s="6">
        <v>817</v>
      </c>
      <c r="C833" s="36" t="s">
        <v>714</v>
      </c>
      <c r="D833" s="37" t="s">
        <v>715</v>
      </c>
      <c r="E833" s="11" t="s">
        <v>777</v>
      </c>
      <c r="F833" s="70" t="s">
        <v>1014</v>
      </c>
      <c r="G833" s="70" t="s">
        <v>697</v>
      </c>
      <c r="H833" s="70" t="s">
        <v>2189</v>
      </c>
      <c r="I833" s="70" t="s">
        <v>778</v>
      </c>
      <c r="J833" s="70" t="s">
        <v>2190</v>
      </c>
      <c r="K833" s="70" t="s">
        <v>389</v>
      </c>
      <c r="L833" s="70" t="s">
        <v>595</v>
      </c>
      <c r="M833" s="38" t="s">
        <v>648</v>
      </c>
      <c r="N833" s="10">
        <v>2</v>
      </c>
      <c r="O833" s="57">
        <f>P833/N833</f>
        <v>16500</v>
      </c>
      <c r="P833" s="62">
        <f>22114+10886</f>
        <v>33000</v>
      </c>
      <c r="Q833" s="6" t="s">
        <v>519</v>
      </c>
      <c r="R833" s="6" t="s">
        <v>770</v>
      </c>
      <c r="S833" s="38" t="s">
        <v>2032</v>
      </c>
      <c r="T833" s="6">
        <v>100</v>
      </c>
    </row>
    <row r="834" spans="1:20" ht="51" outlineLevel="1">
      <c r="B834" s="6">
        <v>818</v>
      </c>
      <c r="C834" s="36" t="s">
        <v>714</v>
      </c>
      <c r="D834" s="37" t="s">
        <v>715</v>
      </c>
      <c r="E834" s="11" t="s">
        <v>777</v>
      </c>
      <c r="F834" s="70" t="s">
        <v>1014</v>
      </c>
      <c r="G834" s="70" t="s">
        <v>697</v>
      </c>
      <c r="H834" s="70" t="s">
        <v>2189</v>
      </c>
      <c r="I834" s="70" t="s">
        <v>778</v>
      </c>
      <c r="J834" s="70" t="s">
        <v>2190</v>
      </c>
      <c r="K834" s="70" t="s">
        <v>389</v>
      </c>
      <c r="L834" s="70" t="s">
        <v>595</v>
      </c>
      <c r="M834" s="38" t="s">
        <v>648</v>
      </c>
      <c r="N834" s="10">
        <v>2</v>
      </c>
      <c r="O834" s="57">
        <v>11044</v>
      </c>
      <c r="P834" s="62">
        <f t="shared" si="13"/>
        <v>22088</v>
      </c>
      <c r="Q834" s="6" t="s">
        <v>397</v>
      </c>
      <c r="R834" s="6" t="s">
        <v>770</v>
      </c>
      <c r="S834" s="38">
        <v>351000000</v>
      </c>
      <c r="T834" s="26">
        <v>0</v>
      </c>
    </row>
    <row r="835" spans="1:20" ht="51" outlineLevel="1">
      <c r="B835" s="6">
        <v>819</v>
      </c>
      <c r="C835" s="36" t="s">
        <v>714</v>
      </c>
      <c r="D835" s="37" t="s">
        <v>715</v>
      </c>
      <c r="E835" s="11" t="s">
        <v>777</v>
      </c>
      <c r="F835" s="70" t="s">
        <v>1014</v>
      </c>
      <c r="G835" s="70" t="s">
        <v>697</v>
      </c>
      <c r="H835" s="70" t="s">
        <v>2189</v>
      </c>
      <c r="I835" s="70" t="s">
        <v>778</v>
      </c>
      <c r="J835" s="70" t="s">
        <v>2190</v>
      </c>
      <c r="K835" s="70" t="s">
        <v>389</v>
      </c>
      <c r="L835" s="70" t="s">
        <v>595</v>
      </c>
      <c r="M835" s="38" t="s">
        <v>648</v>
      </c>
      <c r="N835" s="10">
        <v>2</v>
      </c>
      <c r="O835" s="57">
        <v>15179</v>
      </c>
      <c r="P835" s="62">
        <f t="shared" si="13"/>
        <v>30358</v>
      </c>
      <c r="Q835" s="6" t="s">
        <v>519</v>
      </c>
      <c r="R835" s="6" t="s">
        <v>770</v>
      </c>
      <c r="S835" s="38" t="s">
        <v>719</v>
      </c>
      <c r="T835" s="26">
        <v>100</v>
      </c>
    </row>
    <row r="836" spans="1:20" s="39" customFormat="1" ht="35.25" customHeight="1">
      <c r="B836" s="6">
        <v>820</v>
      </c>
      <c r="C836" s="36" t="s">
        <v>714</v>
      </c>
      <c r="D836" s="37" t="s">
        <v>715</v>
      </c>
      <c r="E836" s="11" t="s">
        <v>777</v>
      </c>
      <c r="F836" s="70" t="s">
        <v>1014</v>
      </c>
      <c r="G836" s="70" t="s">
        <v>697</v>
      </c>
      <c r="H836" s="70" t="s">
        <v>2189</v>
      </c>
      <c r="I836" s="70" t="s">
        <v>778</v>
      </c>
      <c r="J836" s="70" t="s">
        <v>2190</v>
      </c>
      <c r="K836" s="70" t="s">
        <v>389</v>
      </c>
      <c r="L836" s="70" t="s">
        <v>595</v>
      </c>
      <c r="M836" s="38" t="s">
        <v>648</v>
      </c>
      <c r="N836" s="10">
        <v>2</v>
      </c>
      <c r="O836" s="57">
        <v>23719</v>
      </c>
      <c r="P836" s="62">
        <f t="shared" si="13"/>
        <v>47438</v>
      </c>
      <c r="Q836" s="6" t="s">
        <v>395</v>
      </c>
      <c r="R836" s="6" t="s">
        <v>519</v>
      </c>
      <c r="S836" s="38">
        <v>551000000</v>
      </c>
      <c r="T836" s="26">
        <v>100</v>
      </c>
    </row>
    <row r="837" spans="1:20" ht="25.5" outlineLevel="1">
      <c r="B837" s="6">
        <v>821</v>
      </c>
      <c r="C837" s="36" t="s">
        <v>714</v>
      </c>
      <c r="D837" s="37" t="s">
        <v>715</v>
      </c>
      <c r="E837" s="11" t="s">
        <v>777</v>
      </c>
      <c r="F837" s="70" t="s">
        <v>1014</v>
      </c>
      <c r="G837" s="70" t="s">
        <v>697</v>
      </c>
      <c r="H837" s="70" t="s">
        <v>2189</v>
      </c>
      <c r="I837" s="70" t="s">
        <v>778</v>
      </c>
      <c r="J837" s="70" t="s">
        <v>2190</v>
      </c>
      <c r="K837" s="70" t="s">
        <v>389</v>
      </c>
      <c r="L837" s="70" t="s">
        <v>595</v>
      </c>
      <c r="M837" s="38" t="s">
        <v>648</v>
      </c>
      <c r="N837" s="26">
        <v>1</v>
      </c>
      <c r="O837" s="57">
        <v>26384</v>
      </c>
      <c r="P837" s="62">
        <f t="shared" si="13"/>
        <v>26384</v>
      </c>
      <c r="Q837" s="6" t="s">
        <v>519</v>
      </c>
      <c r="R837" s="6" t="s">
        <v>616</v>
      </c>
      <c r="S837" s="38">
        <v>591000000</v>
      </c>
      <c r="T837" s="26">
        <v>0</v>
      </c>
    </row>
    <row r="838" spans="1:20" ht="51" outlineLevel="1">
      <c r="B838" s="6">
        <v>822</v>
      </c>
      <c r="C838" s="36" t="s">
        <v>714</v>
      </c>
      <c r="D838" s="37" t="s">
        <v>715</v>
      </c>
      <c r="E838" s="11" t="s">
        <v>777</v>
      </c>
      <c r="F838" s="70" t="s">
        <v>1014</v>
      </c>
      <c r="G838" s="70" t="s">
        <v>697</v>
      </c>
      <c r="H838" s="70" t="s">
        <v>2189</v>
      </c>
      <c r="I838" s="70" t="s">
        <v>778</v>
      </c>
      <c r="J838" s="70" t="s">
        <v>2190</v>
      </c>
      <c r="K838" s="70" t="s">
        <v>389</v>
      </c>
      <c r="L838" s="70" t="s">
        <v>595</v>
      </c>
      <c r="M838" s="38" t="s">
        <v>648</v>
      </c>
      <c r="N838" s="26">
        <v>2</v>
      </c>
      <c r="O838" s="57">
        <f>P838/N838</f>
        <v>0</v>
      </c>
      <c r="P838" s="62">
        <f>54366-54366</f>
        <v>0</v>
      </c>
      <c r="Q838" s="38" t="s">
        <v>395</v>
      </c>
      <c r="R838" s="6" t="s">
        <v>770</v>
      </c>
      <c r="S838" s="38" t="s">
        <v>2037</v>
      </c>
      <c r="T838" s="6">
        <v>100</v>
      </c>
    </row>
    <row r="839" spans="1:20" ht="51" outlineLevel="1">
      <c r="B839" s="6">
        <v>823</v>
      </c>
      <c r="C839" s="36" t="s">
        <v>714</v>
      </c>
      <c r="D839" s="37" t="s">
        <v>715</v>
      </c>
      <c r="E839" s="12" t="s">
        <v>915</v>
      </c>
      <c r="F839" s="70" t="s">
        <v>427</v>
      </c>
      <c r="G839" s="70" t="s">
        <v>431</v>
      </c>
      <c r="H839" s="70" t="s">
        <v>2249</v>
      </c>
      <c r="I839" s="70" t="s">
        <v>916</v>
      </c>
      <c r="J839" s="70" t="s">
        <v>2250</v>
      </c>
      <c r="K839" s="70" t="s">
        <v>390</v>
      </c>
      <c r="L839" s="70" t="s">
        <v>595</v>
      </c>
      <c r="M839" s="12" t="s">
        <v>913</v>
      </c>
      <c r="N839" s="26">
        <v>60</v>
      </c>
      <c r="O839" s="57">
        <v>1591</v>
      </c>
      <c r="P839" s="62">
        <f t="shared" si="13"/>
        <v>95460</v>
      </c>
      <c r="Q839" s="6" t="s">
        <v>519</v>
      </c>
      <c r="R839" s="6" t="s">
        <v>770</v>
      </c>
      <c r="S839" s="38" t="s">
        <v>2038</v>
      </c>
      <c r="T839" s="26">
        <v>100</v>
      </c>
    </row>
    <row r="840" spans="1:20" ht="25.5" outlineLevel="1">
      <c r="B840" s="6">
        <v>824</v>
      </c>
      <c r="C840" s="36" t="s">
        <v>714</v>
      </c>
      <c r="D840" s="37" t="s">
        <v>715</v>
      </c>
      <c r="E840" s="12" t="s">
        <v>915</v>
      </c>
      <c r="F840" s="70" t="s">
        <v>427</v>
      </c>
      <c r="G840" s="70" t="s">
        <v>431</v>
      </c>
      <c r="H840" s="70" t="s">
        <v>2249</v>
      </c>
      <c r="I840" s="70" t="s">
        <v>916</v>
      </c>
      <c r="J840" s="70" t="s">
        <v>2250</v>
      </c>
      <c r="K840" s="70" t="s">
        <v>390</v>
      </c>
      <c r="L840" s="70" t="s">
        <v>595</v>
      </c>
      <c r="M840" s="12" t="s">
        <v>913</v>
      </c>
      <c r="N840" s="26">
        <v>15</v>
      </c>
      <c r="O840" s="57">
        <v>2286</v>
      </c>
      <c r="P840" s="62">
        <f t="shared" si="13"/>
        <v>34290</v>
      </c>
      <c r="Q840" s="6" t="s">
        <v>519</v>
      </c>
      <c r="R840" s="6" t="s">
        <v>943</v>
      </c>
      <c r="S840" s="38" t="s">
        <v>1025</v>
      </c>
      <c r="T840" s="6">
        <v>100</v>
      </c>
    </row>
    <row r="841" spans="1:20" ht="25.5" outlineLevel="1">
      <c r="A841" s="61"/>
      <c r="B841" s="6">
        <v>825</v>
      </c>
      <c r="C841" s="16" t="s">
        <v>714</v>
      </c>
      <c r="D841" s="37" t="s">
        <v>715</v>
      </c>
      <c r="E841" s="12" t="s">
        <v>915</v>
      </c>
      <c r="F841" s="70" t="s">
        <v>427</v>
      </c>
      <c r="G841" s="70" t="s">
        <v>431</v>
      </c>
      <c r="H841" s="70" t="s">
        <v>2249</v>
      </c>
      <c r="I841" s="70" t="s">
        <v>916</v>
      </c>
      <c r="J841" s="70" t="s">
        <v>2250</v>
      </c>
      <c r="K841" s="70" t="s">
        <v>390</v>
      </c>
      <c r="L841" s="70" t="s">
        <v>595</v>
      </c>
      <c r="M841" s="12" t="s">
        <v>913</v>
      </c>
      <c r="N841" s="26">
        <v>20</v>
      </c>
      <c r="O841" s="57">
        <v>2063</v>
      </c>
      <c r="P841" s="62">
        <f t="shared" si="13"/>
        <v>41260</v>
      </c>
      <c r="Q841" s="6" t="s">
        <v>395</v>
      </c>
      <c r="R841" s="6" t="s">
        <v>395</v>
      </c>
      <c r="S841" s="38" t="s">
        <v>2035</v>
      </c>
      <c r="T841" s="26">
        <v>0</v>
      </c>
    </row>
    <row r="842" spans="1:20" ht="25.5">
      <c r="B842" s="6">
        <v>826</v>
      </c>
      <c r="C842" s="36" t="s">
        <v>714</v>
      </c>
      <c r="D842" s="37" t="s">
        <v>715</v>
      </c>
      <c r="E842" s="12" t="s">
        <v>915</v>
      </c>
      <c r="F842" s="70" t="s">
        <v>427</v>
      </c>
      <c r="G842" s="70" t="s">
        <v>431</v>
      </c>
      <c r="H842" s="70" t="s">
        <v>2249</v>
      </c>
      <c r="I842" s="70" t="s">
        <v>916</v>
      </c>
      <c r="J842" s="70" t="s">
        <v>2250</v>
      </c>
      <c r="K842" s="70" t="s">
        <v>390</v>
      </c>
      <c r="L842" s="70" t="s">
        <v>595</v>
      </c>
      <c r="M842" s="12" t="s">
        <v>913</v>
      </c>
      <c r="N842" s="26">
        <v>16</v>
      </c>
      <c r="O842" s="57">
        <v>1105</v>
      </c>
      <c r="P842" s="62">
        <f t="shared" si="13"/>
        <v>17680</v>
      </c>
      <c r="Q842" s="6" t="s">
        <v>397</v>
      </c>
      <c r="R842" s="6" t="s">
        <v>1029</v>
      </c>
      <c r="S842" s="38" t="s">
        <v>2031</v>
      </c>
      <c r="T842" s="26">
        <v>0</v>
      </c>
    </row>
    <row r="843" spans="1:20" ht="51" outlineLevel="1">
      <c r="B843" s="6">
        <v>827</v>
      </c>
      <c r="C843" s="36" t="s">
        <v>714</v>
      </c>
      <c r="D843" s="37" t="s">
        <v>715</v>
      </c>
      <c r="E843" s="12" t="s">
        <v>915</v>
      </c>
      <c r="F843" s="70" t="s">
        <v>427</v>
      </c>
      <c r="G843" s="70" t="s">
        <v>431</v>
      </c>
      <c r="H843" s="70" t="s">
        <v>2249</v>
      </c>
      <c r="I843" s="70" t="s">
        <v>916</v>
      </c>
      <c r="J843" s="70" t="s">
        <v>2250</v>
      </c>
      <c r="K843" s="70" t="s">
        <v>390</v>
      </c>
      <c r="L843" s="70" t="s">
        <v>595</v>
      </c>
      <c r="M843" s="12" t="s">
        <v>913</v>
      </c>
      <c r="N843" s="26">
        <v>30</v>
      </c>
      <c r="O843" s="57">
        <v>2287</v>
      </c>
      <c r="P843" s="62">
        <f t="shared" si="13"/>
        <v>68610</v>
      </c>
      <c r="Q843" s="6" t="s">
        <v>397</v>
      </c>
      <c r="R843" s="6" t="s">
        <v>770</v>
      </c>
      <c r="S843" s="38" t="s">
        <v>637</v>
      </c>
      <c r="T843" s="26">
        <v>0</v>
      </c>
    </row>
    <row r="844" spans="1:20" ht="51" outlineLevel="1">
      <c r="B844" s="6">
        <v>828</v>
      </c>
      <c r="C844" s="36" t="s">
        <v>714</v>
      </c>
      <c r="D844" s="37" t="s">
        <v>715</v>
      </c>
      <c r="E844" s="12" t="s">
        <v>915</v>
      </c>
      <c r="F844" s="70" t="s">
        <v>427</v>
      </c>
      <c r="G844" s="70" t="s">
        <v>431</v>
      </c>
      <c r="H844" s="70" t="s">
        <v>2249</v>
      </c>
      <c r="I844" s="70" t="s">
        <v>916</v>
      </c>
      <c r="J844" s="70" t="s">
        <v>2250</v>
      </c>
      <c r="K844" s="70" t="s">
        <v>390</v>
      </c>
      <c r="L844" s="70" t="s">
        <v>595</v>
      </c>
      <c r="M844" s="12" t="s">
        <v>913</v>
      </c>
      <c r="N844" s="26">
        <v>30</v>
      </c>
      <c r="O844" s="57">
        <v>1991</v>
      </c>
      <c r="P844" s="62">
        <f t="shared" si="13"/>
        <v>59730</v>
      </c>
      <c r="Q844" s="6" t="s">
        <v>505</v>
      </c>
      <c r="R844" s="6" t="s">
        <v>770</v>
      </c>
      <c r="S844" s="38">
        <v>311000000</v>
      </c>
      <c r="T844" s="26">
        <v>30</v>
      </c>
    </row>
    <row r="845" spans="1:20" ht="51" outlineLevel="1">
      <c r="B845" s="6">
        <v>829</v>
      </c>
      <c r="C845" s="36" t="s">
        <v>714</v>
      </c>
      <c r="D845" s="37" t="s">
        <v>715</v>
      </c>
      <c r="E845" s="12" t="s">
        <v>915</v>
      </c>
      <c r="F845" s="70" t="s">
        <v>427</v>
      </c>
      <c r="G845" s="70" t="s">
        <v>431</v>
      </c>
      <c r="H845" s="70" t="s">
        <v>2249</v>
      </c>
      <c r="I845" s="70" t="s">
        <v>916</v>
      </c>
      <c r="J845" s="70" t="s">
        <v>2250</v>
      </c>
      <c r="K845" s="70" t="s">
        <v>390</v>
      </c>
      <c r="L845" s="70" t="s">
        <v>595</v>
      </c>
      <c r="M845" s="12" t="s">
        <v>913</v>
      </c>
      <c r="N845" s="26">
        <v>20</v>
      </c>
      <c r="O845" s="57">
        <v>1950</v>
      </c>
      <c r="P845" s="62">
        <f t="shared" si="13"/>
        <v>39000</v>
      </c>
      <c r="Q845" s="6" t="s">
        <v>397</v>
      </c>
      <c r="R845" s="6" t="s">
        <v>770</v>
      </c>
      <c r="S845" s="38" t="s">
        <v>2032</v>
      </c>
      <c r="T845" s="6">
        <v>100</v>
      </c>
    </row>
    <row r="846" spans="1:20" ht="51" outlineLevel="1">
      <c r="B846" s="6">
        <v>830</v>
      </c>
      <c r="C846" s="36" t="s">
        <v>714</v>
      </c>
      <c r="D846" s="37" t="s">
        <v>715</v>
      </c>
      <c r="E846" s="12" t="s">
        <v>915</v>
      </c>
      <c r="F846" s="70" t="s">
        <v>427</v>
      </c>
      <c r="G846" s="70" t="s">
        <v>431</v>
      </c>
      <c r="H846" s="70" t="s">
        <v>2249</v>
      </c>
      <c r="I846" s="70" t="s">
        <v>916</v>
      </c>
      <c r="J846" s="70" t="s">
        <v>2250</v>
      </c>
      <c r="K846" s="70" t="s">
        <v>390</v>
      </c>
      <c r="L846" s="70" t="s">
        <v>595</v>
      </c>
      <c r="M846" s="12" t="s">
        <v>913</v>
      </c>
      <c r="N846" s="26">
        <v>20</v>
      </c>
      <c r="O846" s="57">
        <v>1711</v>
      </c>
      <c r="P846" s="62">
        <f t="shared" si="13"/>
        <v>34220</v>
      </c>
      <c r="Q846" s="6" t="s">
        <v>397</v>
      </c>
      <c r="R846" s="6" t="s">
        <v>770</v>
      </c>
      <c r="S846" s="38">
        <v>351000000</v>
      </c>
      <c r="T846" s="26">
        <v>0</v>
      </c>
    </row>
    <row r="847" spans="1:20" ht="51" outlineLevel="1">
      <c r="B847" s="6">
        <v>831</v>
      </c>
      <c r="C847" s="36" t="s">
        <v>714</v>
      </c>
      <c r="D847" s="37" t="s">
        <v>715</v>
      </c>
      <c r="E847" s="12" t="s">
        <v>915</v>
      </c>
      <c r="F847" s="70" t="s">
        <v>427</v>
      </c>
      <c r="G847" s="70" t="s">
        <v>431</v>
      </c>
      <c r="H847" s="70" t="s">
        <v>2249</v>
      </c>
      <c r="I847" s="70" t="s">
        <v>916</v>
      </c>
      <c r="J847" s="70" t="s">
        <v>2250</v>
      </c>
      <c r="K847" s="70" t="s">
        <v>390</v>
      </c>
      <c r="L847" s="70" t="s">
        <v>595</v>
      </c>
      <c r="M847" s="12" t="s">
        <v>913</v>
      </c>
      <c r="N847" s="26">
        <v>15</v>
      </c>
      <c r="O847" s="57">
        <v>1786</v>
      </c>
      <c r="P847" s="62">
        <f t="shared" si="13"/>
        <v>26790</v>
      </c>
      <c r="Q847" s="6" t="s">
        <v>395</v>
      </c>
      <c r="R847" s="6" t="s">
        <v>770</v>
      </c>
      <c r="S847" s="38" t="s">
        <v>929</v>
      </c>
      <c r="T847" s="26">
        <v>0</v>
      </c>
    </row>
    <row r="848" spans="1:20" ht="51" outlineLevel="1">
      <c r="B848" s="6">
        <v>832</v>
      </c>
      <c r="C848" s="36" t="s">
        <v>714</v>
      </c>
      <c r="D848" s="37" t="s">
        <v>715</v>
      </c>
      <c r="E848" s="12" t="s">
        <v>915</v>
      </c>
      <c r="F848" s="70" t="s">
        <v>427</v>
      </c>
      <c r="G848" s="70" t="s">
        <v>431</v>
      </c>
      <c r="H848" s="70" t="s">
        <v>2249</v>
      </c>
      <c r="I848" s="70" t="s">
        <v>916</v>
      </c>
      <c r="J848" s="70" t="s">
        <v>2250</v>
      </c>
      <c r="K848" s="70" t="s">
        <v>390</v>
      </c>
      <c r="L848" s="70" t="s">
        <v>595</v>
      </c>
      <c r="M848" s="12" t="s">
        <v>913</v>
      </c>
      <c r="N848" s="26">
        <v>20</v>
      </c>
      <c r="O848" s="57">
        <v>530</v>
      </c>
      <c r="P848" s="62">
        <f t="shared" si="13"/>
        <v>10600</v>
      </c>
      <c r="Q848" s="6" t="s">
        <v>397</v>
      </c>
      <c r="R848" s="6" t="s">
        <v>770</v>
      </c>
      <c r="S848" s="38">
        <v>431000000</v>
      </c>
      <c r="T848" s="26">
        <v>0</v>
      </c>
    </row>
    <row r="849" spans="1:20" ht="51" outlineLevel="1">
      <c r="B849" s="6">
        <v>833</v>
      </c>
      <c r="C849" s="36" t="s">
        <v>714</v>
      </c>
      <c r="D849" s="37" t="s">
        <v>715</v>
      </c>
      <c r="E849" s="12" t="s">
        <v>915</v>
      </c>
      <c r="F849" s="70" t="s">
        <v>427</v>
      </c>
      <c r="G849" s="70" t="s">
        <v>431</v>
      </c>
      <c r="H849" s="70" t="s">
        <v>2249</v>
      </c>
      <c r="I849" s="70" t="s">
        <v>916</v>
      </c>
      <c r="J849" s="70" t="s">
        <v>2250</v>
      </c>
      <c r="K849" s="70" t="s">
        <v>390</v>
      </c>
      <c r="L849" s="70" t="s">
        <v>595</v>
      </c>
      <c r="M849" s="12" t="s">
        <v>913</v>
      </c>
      <c r="N849" s="26">
        <v>15</v>
      </c>
      <c r="O849" s="57">
        <v>2232</v>
      </c>
      <c r="P849" s="62">
        <f t="shared" ref="P849:P911" si="14">N849*O849</f>
        <v>33480</v>
      </c>
      <c r="Q849" s="6" t="s">
        <v>519</v>
      </c>
      <c r="R849" s="6" t="s">
        <v>770</v>
      </c>
      <c r="S849" s="38" t="s">
        <v>719</v>
      </c>
      <c r="T849" s="26">
        <v>100</v>
      </c>
    </row>
    <row r="850" spans="1:20" s="39" customFormat="1" ht="43.5" customHeight="1">
      <c r="B850" s="6">
        <v>834</v>
      </c>
      <c r="C850" s="36" t="s">
        <v>714</v>
      </c>
      <c r="D850" s="37" t="s">
        <v>715</v>
      </c>
      <c r="E850" s="12" t="s">
        <v>915</v>
      </c>
      <c r="F850" s="70" t="s">
        <v>427</v>
      </c>
      <c r="G850" s="70" t="s">
        <v>431</v>
      </c>
      <c r="H850" s="70" t="s">
        <v>2249</v>
      </c>
      <c r="I850" s="70" t="s">
        <v>916</v>
      </c>
      <c r="J850" s="70" t="s">
        <v>2250</v>
      </c>
      <c r="K850" s="70" t="s">
        <v>390</v>
      </c>
      <c r="L850" s="70" t="s">
        <v>595</v>
      </c>
      <c r="M850" s="12" t="s">
        <v>913</v>
      </c>
      <c r="N850" s="26">
        <v>20</v>
      </c>
      <c r="O850" s="57">
        <v>1473</v>
      </c>
      <c r="P850" s="62">
        <f t="shared" si="14"/>
        <v>29460</v>
      </c>
      <c r="Q850" s="6" t="s">
        <v>395</v>
      </c>
      <c r="R850" s="6" t="s">
        <v>519</v>
      </c>
      <c r="S850" s="38">
        <v>551000000</v>
      </c>
      <c r="T850" s="26">
        <v>100</v>
      </c>
    </row>
    <row r="851" spans="1:20" ht="27" customHeight="1" outlineLevel="1">
      <c r="B851" s="6">
        <v>835</v>
      </c>
      <c r="C851" s="36" t="s">
        <v>714</v>
      </c>
      <c r="D851" s="37" t="s">
        <v>715</v>
      </c>
      <c r="E851" s="12" t="s">
        <v>915</v>
      </c>
      <c r="F851" s="70" t="s">
        <v>427</v>
      </c>
      <c r="G851" s="70" t="s">
        <v>431</v>
      </c>
      <c r="H851" s="70" t="s">
        <v>2249</v>
      </c>
      <c r="I851" s="70" t="s">
        <v>916</v>
      </c>
      <c r="J851" s="70" t="s">
        <v>2250</v>
      </c>
      <c r="K851" s="70" t="s">
        <v>390</v>
      </c>
      <c r="L851" s="70" t="s">
        <v>595</v>
      </c>
      <c r="M851" s="12" t="s">
        <v>913</v>
      </c>
      <c r="N851" s="26">
        <v>20</v>
      </c>
      <c r="O851" s="57">
        <v>2059</v>
      </c>
      <c r="P851" s="62">
        <f t="shared" si="14"/>
        <v>41180</v>
      </c>
      <c r="Q851" s="6" t="s">
        <v>519</v>
      </c>
      <c r="R851" s="6" t="s">
        <v>616</v>
      </c>
      <c r="S851" s="38">
        <v>591000000</v>
      </c>
      <c r="T851" s="26">
        <v>0</v>
      </c>
    </row>
    <row r="852" spans="1:20" ht="51" outlineLevel="1">
      <c r="B852" s="6">
        <v>836</v>
      </c>
      <c r="C852" s="36" t="s">
        <v>714</v>
      </c>
      <c r="D852" s="37" t="s">
        <v>715</v>
      </c>
      <c r="E852" s="12" t="s">
        <v>915</v>
      </c>
      <c r="F852" s="70" t="s">
        <v>427</v>
      </c>
      <c r="G852" s="70" t="s">
        <v>431</v>
      </c>
      <c r="H852" s="70" t="s">
        <v>2249</v>
      </c>
      <c r="I852" s="70" t="s">
        <v>916</v>
      </c>
      <c r="J852" s="70" t="s">
        <v>2250</v>
      </c>
      <c r="K852" s="70" t="s">
        <v>390</v>
      </c>
      <c r="L852" s="70" t="s">
        <v>595</v>
      </c>
      <c r="M852" s="12" t="s">
        <v>913</v>
      </c>
      <c r="N852" s="26">
        <v>37</v>
      </c>
      <c r="O852" s="57">
        <f>P852/N852</f>
        <v>0</v>
      </c>
      <c r="P852" s="62">
        <f>57757-57757</f>
        <v>0</v>
      </c>
      <c r="Q852" s="38" t="s">
        <v>395</v>
      </c>
      <c r="R852" s="6" t="s">
        <v>770</v>
      </c>
      <c r="S852" s="38" t="s">
        <v>2037</v>
      </c>
      <c r="T852" s="6">
        <v>0</v>
      </c>
    </row>
    <row r="853" spans="1:20" ht="51" outlineLevel="1">
      <c r="B853" s="6">
        <v>837</v>
      </c>
      <c r="C853" s="16" t="s">
        <v>714</v>
      </c>
      <c r="D853" s="37" t="s">
        <v>715</v>
      </c>
      <c r="E853" s="38" t="s">
        <v>1172</v>
      </c>
      <c r="F853" s="70" t="s">
        <v>1173</v>
      </c>
      <c r="G853" s="70" t="s">
        <v>1174</v>
      </c>
      <c r="H853" s="70" t="s">
        <v>1175</v>
      </c>
      <c r="I853" s="70" t="s">
        <v>1176</v>
      </c>
      <c r="J853" s="70" t="s">
        <v>1886</v>
      </c>
      <c r="K853" s="70" t="s">
        <v>278</v>
      </c>
      <c r="L853" s="70" t="s">
        <v>595</v>
      </c>
      <c r="M853" s="38" t="s">
        <v>648</v>
      </c>
      <c r="N853" s="26">
        <v>1</v>
      </c>
      <c r="O853" s="57">
        <v>9516600</v>
      </c>
      <c r="P853" s="62">
        <f t="shared" si="14"/>
        <v>9516600</v>
      </c>
      <c r="Q853" s="6" t="s">
        <v>397</v>
      </c>
      <c r="R853" s="6" t="s">
        <v>770</v>
      </c>
      <c r="S853" s="38" t="s">
        <v>1179</v>
      </c>
      <c r="T853" s="26">
        <v>100</v>
      </c>
    </row>
    <row r="854" spans="1:20" s="14" customFormat="1" ht="25.5">
      <c r="A854" s="2"/>
      <c r="B854" s="6">
        <v>838</v>
      </c>
      <c r="C854" s="69" t="s">
        <v>714</v>
      </c>
      <c r="D854" s="37" t="s">
        <v>715</v>
      </c>
      <c r="E854" s="12" t="s">
        <v>620</v>
      </c>
      <c r="F854" s="70" t="s">
        <v>2269</v>
      </c>
      <c r="G854" s="70" t="s">
        <v>621</v>
      </c>
      <c r="H854" s="70" t="s">
        <v>2270</v>
      </c>
      <c r="I854" s="70" t="s">
        <v>622</v>
      </c>
      <c r="J854" s="70" t="s">
        <v>2271</v>
      </c>
      <c r="K854" s="70" t="s">
        <v>623</v>
      </c>
      <c r="L854" s="70" t="s">
        <v>595</v>
      </c>
      <c r="M854" s="38" t="s">
        <v>648</v>
      </c>
      <c r="N854" s="26">
        <v>20</v>
      </c>
      <c r="O854" s="57">
        <v>536</v>
      </c>
      <c r="P854" s="62">
        <f t="shared" si="14"/>
        <v>10720</v>
      </c>
      <c r="Q854" s="6" t="s">
        <v>397</v>
      </c>
      <c r="R854" s="16" t="s">
        <v>398</v>
      </c>
      <c r="S854" s="38">
        <v>431000000</v>
      </c>
      <c r="T854" s="26">
        <v>100</v>
      </c>
    </row>
    <row r="855" spans="1:20" s="14" customFormat="1" ht="25.5">
      <c r="A855" s="2"/>
      <c r="B855" s="6">
        <v>839</v>
      </c>
      <c r="C855" s="69" t="s">
        <v>714</v>
      </c>
      <c r="D855" s="37" t="s">
        <v>715</v>
      </c>
      <c r="E855" s="12" t="s">
        <v>624</v>
      </c>
      <c r="F855" s="70" t="s">
        <v>2329</v>
      </c>
      <c r="G855" s="70" t="s">
        <v>625</v>
      </c>
      <c r="H855" s="70" t="s">
        <v>2330</v>
      </c>
      <c r="I855" s="70" t="s">
        <v>626</v>
      </c>
      <c r="J855" s="70" t="s">
        <v>2329</v>
      </c>
      <c r="K855" s="70" t="s">
        <v>625</v>
      </c>
      <c r="L855" s="70" t="s">
        <v>595</v>
      </c>
      <c r="M855" s="38" t="s">
        <v>648</v>
      </c>
      <c r="N855" s="26">
        <v>20</v>
      </c>
      <c r="O855" s="57">
        <v>300</v>
      </c>
      <c r="P855" s="62">
        <f t="shared" si="14"/>
        <v>6000</v>
      </c>
      <c r="Q855" s="6" t="s">
        <v>397</v>
      </c>
      <c r="R855" s="16" t="s">
        <v>398</v>
      </c>
      <c r="S855" s="38">
        <v>431000000</v>
      </c>
      <c r="T855" s="26">
        <v>100</v>
      </c>
    </row>
    <row r="856" spans="1:20" s="14" customFormat="1" ht="25.5">
      <c r="A856" s="2"/>
      <c r="B856" s="6">
        <v>840</v>
      </c>
      <c r="C856" s="69" t="s">
        <v>714</v>
      </c>
      <c r="D856" s="37" t="s">
        <v>715</v>
      </c>
      <c r="E856" s="12" t="s">
        <v>627</v>
      </c>
      <c r="F856" s="70" t="s">
        <v>2331</v>
      </c>
      <c r="G856" s="70" t="s">
        <v>628</v>
      </c>
      <c r="H856" s="70" t="s">
        <v>2332</v>
      </c>
      <c r="I856" s="70" t="s">
        <v>629</v>
      </c>
      <c r="J856" s="70" t="s">
        <v>2331</v>
      </c>
      <c r="K856" s="70" t="s">
        <v>628</v>
      </c>
      <c r="L856" s="70" t="s">
        <v>595</v>
      </c>
      <c r="M856" s="38" t="s">
        <v>648</v>
      </c>
      <c r="N856" s="26">
        <v>5</v>
      </c>
      <c r="O856" s="57">
        <v>3000</v>
      </c>
      <c r="P856" s="62">
        <f t="shared" si="14"/>
        <v>15000</v>
      </c>
      <c r="Q856" s="6" t="s">
        <v>397</v>
      </c>
      <c r="R856" s="16" t="s">
        <v>398</v>
      </c>
      <c r="S856" s="38">
        <v>431000000</v>
      </c>
      <c r="T856" s="26">
        <v>100</v>
      </c>
    </row>
    <row r="857" spans="1:20" s="14" customFormat="1" ht="25.5">
      <c r="A857" s="2"/>
      <c r="B857" s="6">
        <v>841</v>
      </c>
      <c r="C857" s="69" t="s">
        <v>714</v>
      </c>
      <c r="D857" s="37" t="s">
        <v>715</v>
      </c>
      <c r="E857" s="12" t="s">
        <v>630</v>
      </c>
      <c r="F857" s="70" t="s">
        <v>631</v>
      </c>
      <c r="G857" s="70" t="s">
        <v>631</v>
      </c>
      <c r="H857" s="70" t="s">
        <v>2203</v>
      </c>
      <c r="I857" s="70" t="s">
        <v>632</v>
      </c>
      <c r="J857" s="70" t="s">
        <v>2203</v>
      </c>
      <c r="K857" s="70" t="s">
        <v>632</v>
      </c>
      <c r="L857" s="70" t="s">
        <v>595</v>
      </c>
      <c r="M857" s="12" t="s">
        <v>633</v>
      </c>
      <c r="N857" s="67">
        <v>13</v>
      </c>
      <c r="O857" s="57">
        <v>4000</v>
      </c>
      <c r="P857" s="62">
        <f t="shared" si="14"/>
        <v>52000</v>
      </c>
      <c r="Q857" s="6" t="s">
        <v>397</v>
      </c>
      <c r="R857" s="16" t="s">
        <v>398</v>
      </c>
      <c r="S857" s="38">
        <v>431000000</v>
      </c>
      <c r="T857" s="26">
        <v>100</v>
      </c>
    </row>
    <row r="858" spans="1:20" ht="25.5">
      <c r="A858" s="61"/>
      <c r="B858" s="6">
        <v>842</v>
      </c>
      <c r="C858" s="69" t="s">
        <v>714</v>
      </c>
      <c r="D858" s="37" t="s">
        <v>715</v>
      </c>
      <c r="E858" s="12" t="s">
        <v>1278</v>
      </c>
      <c r="F858" s="70" t="s">
        <v>2282</v>
      </c>
      <c r="G858" s="70" t="s">
        <v>1279</v>
      </c>
      <c r="H858" s="70" t="s">
        <v>2283</v>
      </c>
      <c r="I858" s="70" t="s">
        <v>1280</v>
      </c>
      <c r="J858" s="70" t="s">
        <v>2284</v>
      </c>
      <c r="K858" s="70" t="s">
        <v>1281</v>
      </c>
      <c r="L858" s="70" t="s">
        <v>595</v>
      </c>
      <c r="M858" s="38" t="s">
        <v>648</v>
      </c>
      <c r="N858" s="26">
        <v>1</v>
      </c>
      <c r="O858" s="57">
        <v>44643</v>
      </c>
      <c r="P858" s="62">
        <f t="shared" si="14"/>
        <v>44643</v>
      </c>
      <c r="Q858" s="63" t="s">
        <v>395</v>
      </c>
      <c r="R858" s="63" t="s">
        <v>395</v>
      </c>
      <c r="S858" s="38" t="s">
        <v>2035</v>
      </c>
      <c r="T858" s="26">
        <v>0</v>
      </c>
    </row>
    <row r="859" spans="1:20" ht="25.5">
      <c r="A859" s="61"/>
      <c r="B859" s="6">
        <v>843</v>
      </c>
      <c r="C859" s="69" t="s">
        <v>714</v>
      </c>
      <c r="D859" s="37" t="s">
        <v>715</v>
      </c>
      <c r="E859" s="12" t="s">
        <v>1282</v>
      </c>
      <c r="F859" s="70" t="s">
        <v>4</v>
      </c>
      <c r="G859" s="70" t="s">
        <v>4</v>
      </c>
      <c r="H859" s="70" t="s">
        <v>2337</v>
      </c>
      <c r="I859" s="70" t="s">
        <v>1283</v>
      </c>
      <c r="J859" s="70" t="s">
        <v>4</v>
      </c>
      <c r="K859" s="70" t="s">
        <v>1284</v>
      </c>
      <c r="L859" s="70" t="s">
        <v>595</v>
      </c>
      <c r="M859" s="38" t="s">
        <v>648</v>
      </c>
      <c r="N859" s="26">
        <v>1</v>
      </c>
      <c r="O859" s="57">
        <v>80357</v>
      </c>
      <c r="P859" s="62">
        <f t="shared" si="14"/>
        <v>80357</v>
      </c>
      <c r="Q859" s="63" t="s">
        <v>395</v>
      </c>
      <c r="R859" s="63" t="s">
        <v>395</v>
      </c>
      <c r="S859" s="38" t="s">
        <v>2035</v>
      </c>
      <c r="T859" s="26">
        <v>100</v>
      </c>
    </row>
    <row r="860" spans="1:20" ht="51">
      <c r="A860" s="61"/>
      <c r="B860" s="6">
        <v>844</v>
      </c>
      <c r="C860" s="69" t="s">
        <v>714</v>
      </c>
      <c r="D860" s="37" t="s">
        <v>715</v>
      </c>
      <c r="E860" s="12" t="s">
        <v>1285</v>
      </c>
      <c r="F860" s="70" t="s">
        <v>2088</v>
      </c>
      <c r="G860" s="70" t="s">
        <v>1057</v>
      </c>
      <c r="H860" s="70" t="s">
        <v>2089</v>
      </c>
      <c r="I860" s="70" t="s">
        <v>1058</v>
      </c>
      <c r="J860" s="70" t="s">
        <v>3</v>
      </c>
      <c r="K860" s="70" t="s">
        <v>1286</v>
      </c>
      <c r="L860" s="70" t="s">
        <v>595</v>
      </c>
      <c r="M860" s="38" t="s">
        <v>648</v>
      </c>
      <c r="N860" s="26">
        <v>1</v>
      </c>
      <c r="O860" s="57">
        <v>93750</v>
      </c>
      <c r="P860" s="62">
        <f t="shared" si="14"/>
        <v>93750</v>
      </c>
      <c r="Q860" s="63" t="s">
        <v>395</v>
      </c>
      <c r="R860" s="63" t="s">
        <v>395</v>
      </c>
      <c r="S860" s="38" t="s">
        <v>2035</v>
      </c>
      <c r="T860" s="26">
        <v>100</v>
      </c>
    </row>
    <row r="861" spans="1:20" ht="114.75">
      <c r="A861" s="61"/>
      <c r="B861" s="6">
        <v>845</v>
      </c>
      <c r="C861" s="69" t="s">
        <v>714</v>
      </c>
      <c r="D861" s="37" t="s">
        <v>715</v>
      </c>
      <c r="E861" s="12" t="s">
        <v>1290</v>
      </c>
      <c r="F861" s="70" t="s">
        <v>724</v>
      </c>
      <c r="G861" s="70" t="s">
        <v>724</v>
      </c>
      <c r="H861" s="70" t="s">
        <v>2104</v>
      </c>
      <c r="I861" s="70" t="s">
        <v>1291</v>
      </c>
      <c r="J861" s="70" t="s">
        <v>2101</v>
      </c>
      <c r="K861" s="70" t="s">
        <v>1292</v>
      </c>
      <c r="L861" s="70" t="s">
        <v>595</v>
      </c>
      <c r="M861" s="38" t="s">
        <v>648</v>
      </c>
      <c r="N861" s="26">
        <v>5</v>
      </c>
      <c r="O861" s="57">
        <v>31250</v>
      </c>
      <c r="P861" s="62">
        <f t="shared" si="14"/>
        <v>156250</v>
      </c>
      <c r="Q861" s="6" t="s">
        <v>395</v>
      </c>
      <c r="R861" s="6" t="s">
        <v>395</v>
      </c>
      <c r="S861" s="38" t="s">
        <v>2035</v>
      </c>
      <c r="T861" s="26">
        <v>0</v>
      </c>
    </row>
    <row r="862" spans="1:20" ht="102">
      <c r="A862" s="61"/>
      <c r="B862" s="6">
        <v>846</v>
      </c>
      <c r="C862" s="69" t="s">
        <v>714</v>
      </c>
      <c r="D862" s="37" t="s">
        <v>715</v>
      </c>
      <c r="E862" s="12" t="s">
        <v>752</v>
      </c>
      <c r="F862" s="70" t="s">
        <v>983</v>
      </c>
      <c r="G862" s="70" t="s">
        <v>983</v>
      </c>
      <c r="H862" s="70" t="s">
        <v>2169</v>
      </c>
      <c r="I862" s="70" t="s">
        <v>755</v>
      </c>
      <c r="J862" s="70" t="s">
        <v>2168</v>
      </c>
      <c r="K862" s="70" t="s">
        <v>1297</v>
      </c>
      <c r="L862" s="70" t="s">
        <v>595</v>
      </c>
      <c r="M862" s="38" t="s">
        <v>648</v>
      </c>
      <c r="N862" s="26">
        <v>15</v>
      </c>
      <c r="O862" s="57">
        <v>7143</v>
      </c>
      <c r="P862" s="62">
        <f t="shared" si="14"/>
        <v>107145</v>
      </c>
      <c r="Q862" s="6" t="s">
        <v>395</v>
      </c>
      <c r="R862" s="6" t="s">
        <v>395</v>
      </c>
      <c r="S862" s="38" t="s">
        <v>2035</v>
      </c>
      <c r="T862" s="26">
        <v>0</v>
      </c>
    </row>
    <row r="863" spans="1:20" ht="51.75" customHeight="1">
      <c r="A863" s="61"/>
      <c r="B863" s="6">
        <v>847</v>
      </c>
      <c r="C863" s="69" t="s">
        <v>714</v>
      </c>
      <c r="D863" s="37" t="s">
        <v>715</v>
      </c>
      <c r="E863" s="12" t="s">
        <v>1301</v>
      </c>
      <c r="F863" s="70" t="s">
        <v>724</v>
      </c>
      <c r="G863" s="70" t="s">
        <v>878</v>
      </c>
      <c r="H863" s="70" t="s">
        <v>2105</v>
      </c>
      <c r="I863" s="70" t="s">
        <v>1302</v>
      </c>
      <c r="J863" s="70" t="s">
        <v>2103</v>
      </c>
      <c r="K863" s="70" t="s">
        <v>2102</v>
      </c>
      <c r="L863" s="70" t="s">
        <v>595</v>
      </c>
      <c r="M863" s="38" t="s">
        <v>648</v>
      </c>
      <c r="N863" s="26">
        <v>8</v>
      </c>
      <c r="O863" s="57">
        <v>35714</v>
      </c>
      <c r="P863" s="62">
        <f t="shared" si="14"/>
        <v>285712</v>
      </c>
      <c r="Q863" s="6" t="s">
        <v>395</v>
      </c>
      <c r="R863" s="6" t="s">
        <v>395</v>
      </c>
      <c r="S863" s="38" t="s">
        <v>2035</v>
      </c>
      <c r="T863" s="26">
        <v>0</v>
      </c>
    </row>
    <row r="864" spans="1:20" ht="25.5">
      <c r="A864" s="61"/>
      <c r="B864" s="6">
        <v>848</v>
      </c>
      <c r="C864" s="69" t="s">
        <v>714</v>
      </c>
      <c r="D864" s="37" t="s">
        <v>715</v>
      </c>
      <c r="E864" s="11" t="s">
        <v>1126</v>
      </c>
      <c r="F864" s="70" t="s">
        <v>850</v>
      </c>
      <c r="G864" s="70" t="s">
        <v>478</v>
      </c>
      <c r="H864" s="70" t="s">
        <v>1127</v>
      </c>
      <c r="I864" s="70" t="s">
        <v>1127</v>
      </c>
      <c r="J864" s="70" t="s">
        <v>850</v>
      </c>
      <c r="K864" s="70" t="s">
        <v>237</v>
      </c>
      <c r="L864" s="70" t="s">
        <v>595</v>
      </c>
      <c r="M864" s="38" t="s">
        <v>648</v>
      </c>
      <c r="N864" s="26">
        <v>200</v>
      </c>
      <c r="O864" s="57">
        <v>67</v>
      </c>
      <c r="P864" s="62">
        <f t="shared" si="14"/>
        <v>13400</v>
      </c>
      <c r="Q864" s="6" t="s">
        <v>395</v>
      </c>
      <c r="R864" s="6" t="s">
        <v>395</v>
      </c>
      <c r="S864" s="38" t="s">
        <v>2035</v>
      </c>
      <c r="T864" s="26">
        <v>0</v>
      </c>
    </row>
    <row r="865" spans="1:20" ht="25.5">
      <c r="A865" s="61"/>
      <c r="B865" s="6">
        <v>849</v>
      </c>
      <c r="C865" s="69" t="s">
        <v>714</v>
      </c>
      <c r="D865" s="37" t="s">
        <v>715</v>
      </c>
      <c r="E865" s="12" t="s">
        <v>1287</v>
      </c>
      <c r="F865" s="70" t="s">
        <v>1288</v>
      </c>
      <c r="G865" s="70" t="s">
        <v>1288</v>
      </c>
      <c r="H865" s="70" t="s">
        <v>2338</v>
      </c>
      <c r="I865" s="70" t="s">
        <v>1289</v>
      </c>
      <c r="J865" s="70" t="s">
        <v>1288</v>
      </c>
      <c r="K865" s="70" t="s">
        <v>1288</v>
      </c>
      <c r="L865" s="70" t="s">
        <v>595</v>
      </c>
      <c r="M865" s="38" t="s">
        <v>648</v>
      </c>
      <c r="N865" s="26">
        <v>1</v>
      </c>
      <c r="O865" s="57">
        <v>26786</v>
      </c>
      <c r="P865" s="62">
        <f t="shared" si="14"/>
        <v>26786</v>
      </c>
      <c r="Q865" s="6" t="s">
        <v>395</v>
      </c>
      <c r="R865" s="6" t="s">
        <v>395</v>
      </c>
      <c r="S865" s="38" t="s">
        <v>2035</v>
      </c>
      <c r="T865" s="26">
        <v>0</v>
      </c>
    </row>
    <row r="866" spans="1:20" ht="38.25">
      <c r="A866" s="61"/>
      <c r="B866" s="6">
        <v>850</v>
      </c>
      <c r="C866" s="69" t="s">
        <v>714</v>
      </c>
      <c r="D866" s="37" t="s">
        <v>715</v>
      </c>
      <c r="E866" s="12" t="s">
        <v>1298</v>
      </c>
      <c r="F866" s="70" t="s">
        <v>2339</v>
      </c>
      <c r="G866" s="70" t="s">
        <v>2340</v>
      </c>
      <c r="H866" s="70" t="s">
        <v>2341</v>
      </c>
      <c r="I866" s="70" t="s">
        <v>1300</v>
      </c>
      <c r="J866" s="70" t="s">
        <v>2339</v>
      </c>
      <c r="K866" s="70" t="s">
        <v>1299</v>
      </c>
      <c r="L866" s="70" t="s">
        <v>595</v>
      </c>
      <c r="M866" s="38" t="s">
        <v>648</v>
      </c>
      <c r="N866" s="26">
        <v>3</v>
      </c>
      <c r="O866" s="57">
        <v>29762</v>
      </c>
      <c r="P866" s="62">
        <f t="shared" si="14"/>
        <v>89286</v>
      </c>
      <c r="Q866" s="6" t="s">
        <v>395</v>
      </c>
      <c r="R866" s="6" t="s">
        <v>395</v>
      </c>
      <c r="S866" s="38" t="s">
        <v>2035</v>
      </c>
      <c r="T866" s="26">
        <v>0</v>
      </c>
    </row>
    <row r="867" spans="1:20" ht="25.5">
      <c r="A867" s="61"/>
      <c r="B867" s="6">
        <v>851</v>
      </c>
      <c r="C867" s="69" t="s">
        <v>714</v>
      </c>
      <c r="D867" s="37" t="s">
        <v>715</v>
      </c>
      <c r="E867" s="12" t="s">
        <v>1293</v>
      </c>
      <c r="F867" s="70" t="s">
        <v>2342</v>
      </c>
      <c r="G867" s="70" t="s">
        <v>1294</v>
      </c>
      <c r="H867" s="70" t="s">
        <v>2343</v>
      </c>
      <c r="I867" s="70" t="s">
        <v>1295</v>
      </c>
      <c r="J867" s="70" t="s">
        <v>2344</v>
      </c>
      <c r="K867" s="70" t="s">
        <v>1296</v>
      </c>
      <c r="L867" s="70" t="s">
        <v>595</v>
      </c>
      <c r="M867" s="38" t="s">
        <v>648</v>
      </c>
      <c r="N867" s="26">
        <v>5</v>
      </c>
      <c r="O867" s="57">
        <v>4464</v>
      </c>
      <c r="P867" s="62">
        <f t="shared" si="14"/>
        <v>22320</v>
      </c>
      <c r="Q867" s="6" t="s">
        <v>395</v>
      </c>
      <c r="R867" s="6" t="s">
        <v>395</v>
      </c>
      <c r="S867" s="38" t="s">
        <v>2035</v>
      </c>
      <c r="T867" s="26">
        <v>0</v>
      </c>
    </row>
    <row r="868" spans="1:20" s="60" customFormat="1" ht="38.25">
      <c r="B868" s="6">
        <v>852</v>
      </c>
      <c r="C868" s="16" t="s">
        <v>714</v>
      </c>
      <c r="D868" s="37" t="s">
        <v>715</v>
      </c>
      <c r="E868" s="6" t="s">
        <v>1523</v>
      </c>
      <c r="F868" s="70" t="s">
        <v>631</v>
      </c>
      <c r="G868" s="70" t="s">
        <v>631</v>
      </c>
      <c r="H868" s="70" t="s">
        <v>2267</v>
      </c>
      <c r="I868" s="70" t="s">
        <v>632</v>
      </c>
      <c r="J868" s="70" t="s">
        <v>2268</v>
      </c>
      <c r="K868" s="70" t="s">
        <v>1524</v>
      </c>
      <c r="L868" s="70" t="s">
        <v>595</v>
      </c>
      <c r="M868" s="38" t="s">
        <v>648</v>
      </c>
      <c r="N868" s="68">
        <v>25</v>
      </c>
      <c r="O868" s="57">
        <v>4286</v>
      </c>
      <c r="P868" s="62">
        <f t="shared" si="14"/>
        <v>107150</v>
      </c>
      <c r="Q868" s="6" t="s">
        <v>397</v>
      </c>
      <c r="R868" s="9" t="s">
        <v>397</v>
      </c>
      <c r="S868" s="38">
        <v>551000000</v>
      </c>
      <c r="T868" s="9">
        <v>100</v>
      </c>
    </row>
    <row r="869" spans="1:20" s="60" customFormat="1" ht="39.75" customHeight="1">
      <c r="B869" s="6">
        <v>853</v>
      </c>
      <c r="C869" s="69" t="s">
        <v>714</v>
      </c>
      <c r="D869" s="37" t="s">
        <v>715</v>
      </c>
      <c r="E869" s="6" t="s">
        <v>1525</v>
      </c>
      <c r="F869" s="70" t="s">
        <v>2262</v>
      </c>
      <c r="G869" s="70" t="s">
        <v>2258</v>
      </c>
      <c r="H869" s="70" t="s">
        <v>2260</v>
      </c>
      <c r="I869" s="70" t="s">
        <v>2259</v>
      </c>
      <c r="J869" s="70" t="s">
        <v>2263</v>
      </c>
      <c r="K869" s="70" t="s">
        <v>2261</v>
      </c>
      <c r="L869" s="70" t="s">
        <v>595</v>
      </c>
      <c r="M869" s="38" t="s">
        <v>648</v>
      </c>
      <c r="N869" s="68">
        <v>1</v>
      </c>
      <c r="O869" s="57">
        <v>123214</v>
      </c>
      <c r="P869" s="62">
        <f t="shared" si="14"/>
        <v>123214</v>
      </c>
      <c r="Q869" s="6" t="s">
        <v>397</v>
      </c>
      <c r="R869" s="9" t="s">
        <v>397</v>
      </c>
      <c r="S869" s="38">
        <v>551000000</v>
      </c>
      <c r="T869" s="9">
        <v>100</v>
      </c>
    </row>
    <row r="870" spans="1:20" s="60" customFormat="1" ht="41.25" customHeight="1">
      <c r="B870" s="6">
        <v>854</v>
      </c>
      <c r="C870" s="36" t="s">
        <v>714</v>
      </c>
      <c r="D870" s="37" t="s">
        <v>715</v>
      </c>
      <c r="E870" s="6" t="s">
        <v>1526</v>
      </c>
      <c r="F870" s="70" t="s">
        <v>2113</v>
      </c>
      <c r="G870" s="70" t="s">
        <v>2113</v>
      </c>
      <c r="H870" s="70" t="s">
        <v>2115</v>
      </c>
      <c r="I870" s="70" t="s">
        <v>2114</v>
      </c>
      <c r="J870" s="70" t="s">
        <v>2111</v>
      </c>
      <c r="K870" s="70" t="s">
        <v>1527</v>
      </c>
      <c r="L870" s="70" t="s">
        <v>595</v>
      </c>
      <c r="M870" s="38" t="s">
        <v>648</v>
      </c>
      <c r="N870" s="68">
        <v>1</v>
      </c>
      <c r="O870" s="57">
        <v>23719</v>
      </c>
      <c r="P870" s="62">
        <f t="shared" si="14"/>
        <v>23719</v>
      </c>
      <c r="Q870" s="9" t="s">
        <v>395</v>
      </c>
      <c r="R870" s="9" t="s">
        <v>395</v>
      </c>
      <c r="S870" s="38">
        <v>551000000</v>
      </c>
      <c r="T870" s="9">
        <v>100</v>
      </c>
    </row>
    <row r="871" spans="1:20" s="60" customFormat="1" ht="45" customHeight="1">
      <c r="B871" s="6">
        <v>855</v>
      </c>
      <c r="C871" s="36" t="s">
        <v>714</v>
      </c>
      <c r="D871" s="37" t="s">
        <v>715</v>
      </c>
      <c r="E871" s="6" t="s">
        <v>1526</v>
      </c>
      <c r="F871" s="70" t="s">
        <v>2113</v>
      </c>
      <c r="G871" s="70" t="s">
        <v>2113</v>
      </c>
      <c r="H871" s="70" t="s">
        <v>2115</v>
      </c>
      <c r="I871" s="70" t="s">
        <v>2114</v>
      </c>
      <c r="J871" s="70" t="s">
        <v>2112</v>
      </c>
      <c r="K871" s="70" t="s">
        <v>1528</v>
      </c>
      <c r="L871" s="70" t="s">
        <v>595</v>
      </c>
      <c r="M871" s="38" t="s">
        <v>648</v>
      </c>
      <c r="N871" s="68">
        <v>1</v>
      </c>
      <c r="O871" s="57">
        <v>23719</v>
      </c>
      <c r="P871" s="62">
        <f t="shared" si="14"/>
        <v>23719</v>
      </c>
      <c r="Q871" s="9" t="s">
        <v>395</v>
      </c>
      <c r="R871" s="9" t="s">
        <v>395</v>
      </c>
      <c r="S871" s="38">
        <v>551000000</v>
      </c>
      <c r="T871" s="9">
        <v>100</v>
      </c>
    </row>
    <row r="872" spans="1:20" s="60" customFormat="1" ht="39.75" customHeight="1">
      <c r="B872" s="6">
        <v>856</v>
      </c>
      <c r="C872" s="69" t="s">
        <v>714</v>
      </c>
      <c r="D872" s="37" t="s">
        <v>715</v>
      </c>
      <c r="E872" s="6" t="s">
        <v>1529</v>
      </c>
      <c r="F872" s="70" t="s">
        <v>2225</v>
      </c>
      <c r="G872" s="70" t="s">
        <v>1530</v>
      </c>
      <c r="H872" s="70" t="s">
        <v>2225</v>
      </c>
      <c r="I872" s="70" t="s">
        <v>1530</v>
      </c>
      <c r="J872" s="70" t="s">
        <v>2225</v>
      </c>
      <c r="K872" s="70" t="s">
        <v>1530</v>
      </c>
      <c r="L872" s="70" t="s">
        <v>595</v>
      </c>
      <c r="M872" s="38" t="s">
        <v>648</v>
      </c>
      <c r="N872" s="68">
        <v>10</v>
      </c>
      <c r="O872" s="57">
        <v>536</v>
      </c>
      <c r="P872" s="62">
        <f t="shared" si="14"/>
        <v>5360</v>
      </c>
      <c r="Q872" s="9" t="s">
        <v>395</v>
      </c>
      <c r="R872" s="9" t="s">
        <v>395</v>
      </c>
      <c r="S872" s="38">
        <v>551000000</v>
      </c>
      <c r="T872" s="9">
        <v>100</v>
      </c>
    </row>
    <row r="873" spans="1:20" ht="63.75">
      <c r="B873" s="6">
        <v>857</v>
      </c>
      <c r="C873" s="69" t="s">
        <v>714</v>
      </c>
      <c r="D873" s="37" t="s">
        <v>715</v>
      </c>
      <c r="E873" s="6" t="s">
        <v>607</v>
      </c>
      <c r="F873" s="70" t="s">
        <v>608</v>
      </c>
      <c r="G873" s="70" t="s">
        <v>609</v>
      </c>
      <c r="H873" s="70" t="s">
        <v>610</v>
      </c>
      <c r="I873" s="70" t="s">
        <v>611</v>
      </c>
      <c r="J873" s="70" t="s">
        <v>2265</v>
      </c>
      <c r="K873" s="70" t="s">
        <v>1532</v>
      </c>
      <c r="L873" s="70" t="s">
        <v>595</v>
      </c>
      <c r="M873" s="38" t="s">
        <v>1483</v>
      </c>
      <c r="N873" s="26">
        <v>144</v>
      </c>
      <c r="O873" s="57">
        <v>350</v>
      </c>
      <c r="P873" s="62">
        <f t="shared" si="14"/>
        <v>50400</v>
      </c>
      <c r="Q873" s="6" t="s">
        <v>397</v>
      </c>
      <c r="R873" s="6" t="s">
        <v>770</v>
      </c>
      <c r="S873" s="38" t="s">
        <v>2038</v>
      </c>
      <c r="T873" s="6">
        <v>0</v>
      </c>
    </row>
    <row r="874" spans="1:20" ht="63.75">
      <c r="B874" s="6">
        <v>858</v>
      </c>
      <c r="C874" s="69" t="s">
        <v>714</v>
      </c>
      <c r="D874" s="37" t="s">
        <v>715</v>
      </c>
      <c r="E874" s="6" t="s">
        <v>607</v>
      </c>
      <c r="F874" s="70" t="s">
        <v>608</v>
      </c>
      <c r="G874" s="70" t="s">
        <v>609</v>
      </c>
      <c r="H874" s="70" t="s">
        <v>610</v>
      </c>
      <c r="I874" s="70" t="s">
        <v>611</v>
      </c>
      <c r="J874" s="70" t="s">
        <v>2265</v>
      </c>
      <c r="K874" s="70" t="s">
        <v>1532</v>
      </c>
      <c r="L874" s="70" t="s">
        <v>595</v>
      </c>
      <c r="M874" s="38" t="s">
        <v>1483</v>
      </c>
      <c r="N874" s="26">
        <v>144</v>
      </c>
      <c r="O874" s="57">
        <v>350</v>
      </c>
      <c r="P874" s="62">
        <f t="shared" si="14"/>
        <v>50400</v>
      </c>
      <c r="Q874" s="6" t="s">
        <v>397</v>
      </c>
      <c r="R874" s="6" t="s">
        <v>770</v>
      </c>
      <c r="S874" s="38" t="s">
        <v>1025</v>
      </c>
      <c r="T874" s="6">
        <v>0</v>
      </c>
    </row>
    <row r="875" spans="1:20" ht="63.75">
      <c r="B875" s="6">
        <v>859</v>
      </c>
      <c r="C875" s="69" t="s">
        <v>714</v>
      </c>
      <c r="D875" s="37" t="s">
        <v>715</v>
      </c>
      <c r="E875" s="6" t="s">
        <v>607</v>
      </c>
      <c r="F875" s="70" t="s">
        <v>608</v>
      </c>
      <c r="G875" s="70" t="s">
        <v>609</v>
      </c>
      <c r="H875" s="70" t="s">
        <v>610</v>
      </c>
      <c r="I875" s="70" t="s">
        <v>611</v>
      </c>
      <c r="J875" s="70" t="s">
        <v>2265</v>
      </c>
      <c r="K875" s="70" t="s">
        <v>1532</v>
      </c>
      <c r="L875" s="70" t="s">
        <v>595</v>
      </c>
      <c r="M875" s="38" t="s">
        <v>1483</v>
      </c>
      <c r="N875" s="26">
        <v>144</v>
      </c>
      <c r="O875" s="57">
        <v>350</v>
      </c>
      <c r="P875" s="62">
        <f t="shared" si="14"/>
        <v>50400</v>
      </c>
      <c r="Q875" s="6" t="s">
        <v>397</v>
      </c>
      <c r="R875" s="6" t="s">
        <v>770</v>
      </c>
      <c r="S875" s="38" t="s">
        <v>793</v>
      </c>
      <c r="T875" s="26">
        <v>0</v>
      </c>
    </row>
    <row r="876" spans="1:20" ht="63.75">
      <c r="B876" s="6">
        <v>860</v>
      </c>
      <c r="C876" s="69" t="s">
        <v>714</v>
      </c>
      <c r="D876" s="37" t="s">
        <v>715</v>
      </c>
      <c r="E876" s="6" t="s">
        <v>607</v>
      </c>
      <c r="F876" s="70" t="s">
        <v>608</v>
      </c>
      <c r="G876" s="70" t="s">
        <v>609</v>
      </c>
      <c r="H876" s="70" t="s">
        <v>610</v>
      </c>
      <c r="I876" s="70" t="s">
        <v>611</v>
      </c>
      <c r="J876" s="70" t="s">
        <v>2265</v>
      </c>
      <c r="K876" s="70" t="s">
        <v>1532</v>
      </c>
      <c r="L876" s="70" t="s">
        <v>595</v>
      </c>
      <c r="M876" s="38" t="s">
        <v>1483</v>
      </c>
      <c r="N876" s="26">
        <v>144</v>
      </c>
      <c r="O876" s="57">
        <v>350</v>
      </c>
      <c r="P876" s="62">
        <f t="shared" si="14"/>
        <v>50400</v>
      </c>
      <c r="Q876" s="6" t="s">
        <v>397</v>
      </c>
      <c r="R876" s="6" t="s">
        <v>770</v>
      </c>
      <c r="S876" s="38" t="s">
        <v>2035</v>
      </c>
      <c r="T876" s="6">
        <v>0</v>
      </c>
    </row>
    <row r="877" spans="1:20" ht="63.75">
      <c r="B877" s="6">
        <v>861</v>
      </c>
      <c r="C877" s="69" t="s">
        <v>714</v>
      </c>
      <c r="D877" s="37" t="s">
        <v>715</v>
      </c>
      <c r="E877" s="6" t="s">
        <v>607</v>
      </c>
      <c r="F877" s="70" t="s">
        <v>608</v>
      </c>
      <c r="G877" s="70" t="s">
        <v>609</v>
      </c>
      <c r="H877" s="70" t="s">
        <v>610</v>
      </c>
      <c r="I877" s="70" t="s">
        <v>611</v>
      </c>
      <c r="J877" s="70" t="s">
        <v>2265</v>
      </c>
      <c r="K877" s="70" t="s">
        <v>1532</v>
      </c>
      <c r="L877" s="70" t="s">
        <v>595</v>
      </c>
      <c r="M877" s="38" t="s">
        <v>1483</v>
      </c>
      <c r="N877" s="26">
        <v>144</v>
      </c>
      <c r="O877" s="57">
        <v>350</v>
      </c>
      <c r="P877" s="62">
        <f t="shared" si="14"/>
        <v>50400</v>
      </c>
      <c r="Q877" s="6" t="s">
        <v>397</v>
      </c>
      <c r="R877" s="6" t="s">
        <v>770</v>
      </c>
      <c r="S877" s="38" t="s">
        <v>2031</v>
      </c>
      <c r="T877" s="6">
        <v>0</v>
      </c>
    </row>
    <row r="878" spans="1:20" ht="63.75">
      <c r="B878" s="6">
        <v>862</v>
      </c>
      <c r="C878" s="69" t="s">
        <v>714</v>
      </c>
      <c r="D878" s="37" t="s">
        <v>715</v>
      </c>
      <c r="E878" s="6" t="s">
        <v>607</v>
      </c>
      <c r="F878" s="70" t="s">
        <v>608</v>
      </c>
      <c r="G878" s="70" t="s">
        <v>609</v>
      </c>
      <c r="H878" s="70" t="s">
        <v>610</v>
      </c>
      <c r="I878" s="70" t="s">
        <v>611</v>
      </c>
      <c r="J878" s="70" t="s">
        <v>2265</v>
      </c>
      <c r="K878" s="70" t="s">
        <v>1532</v>
      </c>
      <c r="L878" s="70" t="s">
        <v>595</v>
      </c>
      <c r="M878" s="38" t="s">
        <v>1483</v>
      </c>
      <c r="N878" s="26">
        <v>84</v>
      </c>
      <c r="O878" s="57">
        <f>P878/N878</f>
        <v>600</v>
      </c>
      <c r="P878" s="62">
        <v>50400</v>
      </c>
      <c r="Q878" s="6" t="s">
        <v>519</v>
      </c>
      <c r="R878" s="6" t="s">
        <v>2709</v>
      </c>
      <c r="S878" s="38" t="s">
        <v>637</v>
      </c>
      <c r="T878" s="26">
        <v>0</v>
      </c>
    </row>
    <row r="879" spans="1:20" ht="63.75">
      <c r="B879" s="6">
        <v>863</v>
      </c>
      <c r="C879" s="69" t="s">
        <v>714</v>
      </c>
      <c r="D879" s="37" t="s">
        <v>715</v>
      </c>
      <c r="E879" s="6" t="s">
        <v>607</v>
      </c>
      <c r="F879" s="70" t="s">
        <v>608</v>
      </c>
      <c r="G879" s="70" t="s">
        <v>609</v>
      </c>
      <c r="H879" s="70" t="s">
        <v>610</v>
      </c>
      <c r="I879" s="70" t="s">
        <v>611</v>
      </c>
      <c r="J879" s="70" t="s">
        <v>2265</v>
      </c>
      <c r="K879" s="70" t="s">
        <v>1532</v>
      </c>
      <c r="L879" s="70" t="s">
        <v>595</v>
      </c>
      <c r="M879" s="38" t="s">
        <v>1483</v>
      </c>
      <c r="N879" s="26">
        <v>84</v>
      </c>
      <c r="O879" s="57">
        <f>P879/N879</f>
        <v>600</v>
      </c>
      <c r="P879" s="62">
        <v>50400</v>
      </c>
      <c r="Q879" s="6" t="s">
        <v>519</v>
      </c>
      <c r="R879" s="6" t="s">
        <v>2709</v>
      </c>
      <c r="S879" s="38" t="s">
        <v>698</v>
      </c>
      <c r="T879" s="26">
        <v>0</v>
      </c>
    </row>
    <row r="880" spans="1:20" ht="63.75">
      <c r="B880" s="6">
        <v>864</v>
      </c>
      <c r="C880" s="69" t="s">
        <v>714</v>
      </c>
      <c r="D880" s="37" t="s">
        <v>715</v>
      </c>
      <c r="E880" s="6" t="s">
        <v>607</v>
      </c>
      <c r="F880" s="70" t="s">
        <v>608</v>
      </c>
      <c r="G880" s="70" t="s">
        <v>609</v>
      </c>
      <c r="H880" s="70" t="s">
        <v>610</v>
      </c>
      <c r="I880" s="70" t="s">
        <v>611</v>
      </c>
      <c r="J880" s="70" t="s">
        <v>2265</v>
      </c>
      <c r="K880" s="70" t="s">
        <v>1532</v>
      </c>
      <c r="L880" s="70" t="s">
        <v>595</v>
      </c>
      <c r="M880" s="38" t="s">
        <v>1483</v>
      </c>
      <c r="N880" s="26">
        <v>144</v>
      </c>
      <c r="O880" s="57">
        <v>350</v>
      </c>
      <c r="P880" s="62">
        <f t="shared" si="14"/>
        <v>50400</v>
      </c>
      <c r="Q880" s="6" t="s">
        <v>397</v>
      </c>
      <c r="R880" s="6" t="s">
        <v>770</v>
      </c>
      <c r="S880" s="38">
        <v>311000000</v>
      </c>
      <c r="T880" s="26">
        <v>0</v>
      </c>
    </row>
    <row r="881" spans="2:20" ht="63.75">
      <c r="B881" s="6">
        <v>865</v>
      </c>
      <c r="C881" s="69" t="s">
        <v>714</v>
      </c>
      <c r="D881" s="37" t="s">
        <v>715</v>
      </c>
      <c r="E881" s="6" t="s">
        <v>607</v>
      </c>
      <c r="F881" s="70" t="s">
        <v>608</v>
      </c>
      <c r="G881" s="70" t="s">
        <v>609</v>
      </c>
      <c r="H881" s="70" t="s">
        <v>610</v>
      </c>
      <c r="I881" s="70" t="s">
        <v>611</v>
      </c>
      <c r="J881" s="70" t="s">
        <v>2265</v>
      </c>
      <c r="K881" s="70" t="s">
        <v>1532</v>
      </c>
      <c r="L881" s="70" t="s">
        <v>595</v>
      </c>
      <c r="M881" s="38" t="s">
        <v>1483</v>
      </c>
      <c r="N881" s="26">
        <v>144</v>
      </c>
      <c r="O881" s="57">
        <v>350</v>
      </c>
      <c r="P881" s="62">
        <f t="shared" si="14"/>
        <v>50400</v>
      </c>
      <c r="Q881" s="6" t="s">
        <v>397</v>
      </c>
      <c r="R881" s="6" t="s">
        <v>770</v>
      </c>
      <c r="S881" s="38" t="s">
        <v>2032</v>
      </c>
      <c r="T881" s="6">
        <v>0</v>
      </c>
    </row>
    <row r="882" spans="2:20" ht="63.75">
      <c r="B882" s="6">
        <v>866</v>
      </c>
      <c r="C882" s="69" t="s">
        <v>714</v>
      </c>
      <c r="D882" s="37" t="s">
        <v>715</v>
      </c>
      <c r="E882" s="6" t="s">
        <v>607</v>
      </c>
      <c r="F882" s="70" t="s">
        <v>608</v>
      </c>
      <c r="G882" s="70" t="s">
        <v>609</v>
      </c>
      <c r="H882" s="70" t="s">
        <v>610</v>
      </c>
      <c r="I882" s="70" t="s">
        <v>611</v>
      </c>
      <c r="J882" s="70" t="s">
        <v>2265</v>
      </c>
      <c r="K882" s="70" t="s">
        <v>1532</v>
      </c>
      <c r="L882" s="70" t="s">
        <v>595</v>
      </c>
      <c r="M882" s="38" t="s">
        <v>1483</v>
      </c>
      <c r="N882" s="26">
        <v>144</v>
      </c>
      <c r="O882" s="57">
        <v>350</v>
      </c>
      <c r="P882" s="62">
        <f t="shared" si="14"/>
        <v>50400</v>
      </c>
      <c r="Q882" s="6" t="s">
        <v>397</v>
      </c>
      <c r="R882" s="6" t="s">
        <v>770</v>
      </c>
      <c r="S882" s="38">
        <v>351000000</v>
      </c>
      <c r="T882" s="26">
        <v>0</v>
      </c>
    </row>
    <row r="883" spans="2:20" ht="63.75">
      <c r="B883" s="6">
        <v>867</v>
      </c>
      <c r="C883" s="69" t="s">
        <v>714</v>
      </c>
      <c r="D883" s="37" t="s">
        <v>715</v>
      </c>
      <c r="E883" s="6" t="s">
        <v>607</v>
      </c>
      <c r="F883" s="70" t="s">
        <v>608</v>
      </c>
      <c r="G883" s="70" t="s">
        <v>609</v>
      </c>
      <c r="H883" s="70" t="s">
        <v>610</v>
      </c>
      <c r="I883" s="70" t="s">
        <v>611</v>
      </c>
      <c r="J883" s="70" t="s">
        <v>2265</v>
      </c>
      <c r="K883" s="70" t="s">
        <v>1532</v>
      </c>
      <c r="L883" s="70" t="s">
        <v>595</v>
      </c>
      <c r="M883" s="38" t="s">
        <v>1483</v>
      </c>
      <c r="N883" s="26">
        <v>144</v>
      </c>
      <c r="O883" s="57">
        <v>350</v>
      </c>
      <c r="P883" s="62">
        <f t="shared" si="14"/>
        <v>50400</v>
      </c>
      <c r="Q883" s="6" t="s">
        <v>397</v>
      </c>
      <c r="R883" s="6" t="s">
        <v>770</v>
      </c>
      <c r="S883" s="38" t="s">
        <v>929</v>
      </c>
      <c r="T883" s="26">
        <v>0</v>
      </c>
    </row>
    <row r="884" spans="2:20" ht="63.75">
      <c r="B884" s="6">
        <v>868</v>
      </c>
      <c r="C884" s="69" t="s">
        <v>714</v>
      </c>
      <c r="D884" s="37" t="s">
        <v>715</v>
      </c>
      <c r="E884" s="6" t="s">
        <v>607</v>
      </c>
      <c r="F884" s="70" t="s">
        <v>608</v>
      </c>
      <c r="G884" s="70" t="s">
        <v>609</v>
      </c>
      <c r="H884" s="70" t="s">
        <v>610</v>
      </c>
      <c r="I884" s="70" t="s">
        <v>611</v>
      </c>
      <c r="J884" s="70" t="s">
        <v>2265</v>
      </c>
      <c r="K884" s="70" t="s">
        <v>1532</v>
      </c>
      <c r="L884" s="70" t="s">
        <v>595</v>
      </c>
      <c r="M884" s="38" t="s">
        <v>1483</v>
      </c>
      <c r="N884" s="26">
        <v>144</v>
      </c>
      <c r="O884" s="57">
        <v>350</v>
      </c>
      <c r="P884" s="62">
        <f t="shared" si="14"/>
        <v>50400</v>
      </c>
      <c r="Q884" s="6" t="s">
        <v>397</v>
      </c>
      <c r="R884" s="6" t="s">
        <v>770</v>
      </c>
      <c r="S884" s="38">
        <v>431000000</v>
      </c>
      <c r="T884" s="26">
        <v>0</v>
      </c>
    </row>
    <row r="885" spans="2:20" ht="63.75">
      <c r="B885" s="6">
        <v>869</v>
      </c>
      <c r="C885" s="69" t="s">
        <v>714</v>
      </c>
      <c r="D885" s="37" t="s">
        <v>715</v>
      </c>
      <c r="E885" s="6" t="s">
        <v>607</v>
      </c>
      <c r="F885" s="70" t="s">
        <v>608</v>
      </c>
      <c r="G885" s="70" t="s">
        <v>609</v>
      </c>
      <c r="H885" s="70" t="s">
        <v>610</v>
      </c>
      <c r="I885" s="70" t="s">
        <v>611</v>
      </c>
      <c r="J885" s="70" t="s">
        <v>2265</v>
      </c>
      <c r="K885" s="70" t="s">
        <v>1532</v>
      </c>
      <c r="L885" s="70" t="s">
        <v>595</v>
      </c>
      <c r="M885" s="38" t="s">
        <v>1483</v>
      </c>
      <c r="N885" s="26">
        <v>144</v>
      </c>
      <c r="O885" s="57">
        <v>350</v>
      </c>
      <c r="P885" s="62">
        <f t="shared" si="14"/>
        <v>50400</v>
      </c>
      <c r="Q885" s="6" t="s">
        <v>397</v>
      </c>
      <c r="R885" s="6" t="s">
        <v>770</v>
      </c>
      <c r="S885" s="38" t="s">
        <v>719</v>
      </c>
      <c r="T885" s="6">
        <v>0</v>
      </c>
    </row>
    <row r="886" spans="2:20" ht="63.75">
      <c r="B886" s="6">
        <v>870</v>
      </c>
      <c r="C886" s="69" t="s">
        <v>714</v>
      </c>
      <c r="D886" s="37" t="s">
        <v>715</v>
      </c>
      <c r="E886" s="6" t="s">
        <v>607</v>
      </c>
      <c r="F886" s="70" t="s">
        <v>608</v>
      </c>
      <c r="G886" s="70" t="s">
        <v>609</v>
      </c>
      <c r="H886" s="70" t="s">
        <v>610</v>
      </c>
      <c r="I886" s="70" t="s">
        <v>611</v>
      </c>
      <c r="J886" s="70" t="s">
        <v>2265</v>
      </c>
      <c r="K886" s="70" t="s">
        <v>1532</v>
      </c>
      <c r="L886" s="70" t="s">
        <v>595</v>
      </c>
      <c r="M886" s="38" t="s">
        <v>1483</v>
      </c>
      <c r="N886" s="26">
        <v>144</v>
      </c>
      <c r="O886" s="57">
        <v>350</v>
      </c>
      <c r="P886" s="62">
        <f t="shared" si="14"/>
        <v>50400</v>
      </c>
      <c r="Q886" s="6" t="s">
        <v>397</v>
      </c>
      <c r="R886" s="6" t="s">
        <v>770</v>
      </c>
      <c r="S886" s="38">
        <v>551000000</v>
      </c>
      <c r="T886" s="6">
        <v>0</v>
      </c>
    </row>
    <row r="887" spans="2:20" ht="63.75">
      <c r="B887" s="6">
        <v>871</v>
      </c>
      <c r="C887" s="69" t="s">
        <v>714</v>
      </c>
      <c r="D887" s="37" t="s">
        <v>715</v>
      </c>
      <c r="E887" s="6" t="s">
        <v>607</v>
      </c>
      <c r="F887" s="70" t="s">
        <v>608</v>
      </c>
      <c r="G887" s="70" t="s">
        <v>609</v>
      </c>
      <c r="H887" s="70" t="s">
        <v>610</v>
      </c>
      <c r="I887" s="70" t="s">
        <v>611</v>
      </c>
      <c r="J887" s="70" t="s">
        <v>2265</v>
      </c>
      <c r="K887" s="70" t="s">
        <v>1532</v>
      </c>
      <c r="L887" s="70" t="s">
        <v>595</v>
      </c>
      <c r="M887" s="38" t="s">
        <v>1483</v>
      </c>
      <c r="N887" s="26">
        <v>144</v>
      </c>
      <c r="O887" s="57">
        <v>350</v>
      </c>
      <c r="P887" s="62">
        <f t="shared" si="14"/>
        <v>50400</v>
      </c>
      <c r="Q887" s="6" t="s">
        <v>397</v>
      </c>
      <c r="R887" s="6" t="s">
        <v>770</v>
      </c>
      <c r="S887" s="38">
        <v>591000000</v>
      </c>
      <c r="T887" s="7">
        <v>0</v>
      </c>
    </row>
    <row r="888" spans="2:20" ht="63.75">
      <c r="B888" s="6">
        <v>872</v>
      </c>
      <c r="C888" s="69" t="s">
        <v>714</v>
      </c>
      <c r="D888" s="37" t="s">
        <v>715</v>
      </c>
      <c r="E888" s="6" t="s">
        <v>607</v>
      </c>
      <c r="F888" s="70" t="s">
        <v>608</v>
      </c>
      <c r="G888" s="70" t="s">
        <v>609</v>
      </c>
      <c r="H888" s="70" t="s">
        <v>610</v>
      </c>
      <c r="I888" s="70" t="s">
        <v>611</v>
      </c>
      <c r="J888" s="70" t="s">
        <v>2265</v>
      </c>
      <c r="K888" s="70" t="s">
        <v>1532</v>
      </c>
      <c r="L888" s="70" t="s">
        <v>595</v>
      </c>
      <c r="M888" s="38" t="s">
        <v>1483</v>
      </c>
      <c r="N888" s="26">
        <f>120-36</f>
        <v>84</v>
      </c>
      <c r="O888" s="57">
        <f>P888/N888</f>
        <v>500</v>
      </c>
      <c r="P888" s="62">
        <f>50400-8400</f>
        <v>42000</v>
      </c>
      <c r="Q888" s="6" t="s">
        <v>616</v>
      </c>
      <c r="R888" s="6" t="s">
        <v>770</v>
      </c>
      <c r="S888" s="38" t="s">
        <v>2037</v>
      </c>
      <c r="T888" s="6">
        <v>0</v>
      </c>
    </row>
    <row r="889" spans="2:20" ht="51" outlineLevel="1">
      <c r="B889" s="6">
        <v>873</v>
      </c>
      <c r="C889" s="36" t="s">
        <v>714</v>
      </c>
      <c r="D889" s="6" t="s">
        <v>601</v>
      </c>
      <c r="E889" s="12" t="s">
        <v>1042</v>
      </c>
      <c r="F889" s="70" t="s">
        <v>1740</v>
      </c>
      <c r="G889" s="70" t="s">
        <v>1043</v>
      </c>
      <c r="H889" s="70" t="s">
        <v>1740</v>
      </c>
      <c r="I889" s="70" t="s">
        <v>1232</v>
      </c>
      <c r="J889" s="70" t="s">
        <v>1741</v>
      </c>
      <c r="K889" s="70" t="s">
        <v>100</v>
      </c>
      <c r="L889" s="70" t="s">
        <v>595</v>
      </c>
      <c r="M889" s="12" t="s">
        <v>918</v>
      </c>
      <c r="N889" s="10">
        <v>1</v>
      </c>
      <c r="O889" s="57">
        <v>693589</v>
      </c>
      <c r="P889" s="62">
        <f t="shared" si="14"/>
        <v>693589</v>
      </c>
      <c r="Q889" s="15" t="s">
        <v>395</v>
      </c>
      <c r="R889" s="6" t="s">
        <v>770</v>
      </c>
      <c r="S889" s="38" t="s">
        <v>1179</v>
      </c>
      <c r="T889" s="15">
        <v>0</v>
      </c>
    </row>
    <row r="890" spans="2:20" ht="51" outlineLevel="1">
      <c r="B890" s="6">
        <v>874</v>
      </c>
      <c r="C890" s="36" t="s">
        <v>714</v>
      </c>
      <c r="D890" s="6" t="s">
        <v>601</v>
      </c>
      <c r="E890" s="12" t="s">
        <v>854</v>
      </c>
      <c r="F890" s="70" t="s">
        <v>1742</v>
      </c>
      <c r="G890" s="70" t="s">
        <v>855</v>
      </c>
      <c r="H890" s="70" t="s">
        <v>1743</v>
      </c>
      <c r="I890" s="70" t="s">
        <v>856</v>
      </c>
      <c r="J890" s="70" t="s">
        <v>1744</v>
      </c>
      <c r="K890" s="70" t="s">
        <v>101</v>
      </c>
      <c r="L890" s="70" t="s">
        <v>1489</v>
      </c>
      <c r="M890" s="12" t="s">
        <v>918</v>
      </c>
      <c r="N890" s="10">
        <v>1</v>
      </c>
      <c r="O890" s="57">
        <f>P890/N890</f>
        <v>4985718</v>
      </c>
      <c r="P890" s="62">
        <f>5875718-890000</f>
        <v>4985718</v>
      </c>
      <c r="Q890" s="15" t="s">
        <v>395</v>
      </c>
      <c r="R890" s="6" t="s">
        <v>770</v>
      </c>
      <c r="S890" s="38" t="s">
        <v>1179</v>
      </c>
      <c r="T890" s="15">
        <v>0</v>
      </c>
    </row>
    <row r="891" spans="2:20" ht="63.75" outlineLevel="1">
      <c r="B891" s="6">
        <v>875</v>
      </c>
      <c r="C891" s="36" t="s">
        <v>714</v>
      </c>
      <c r="D891" s="6" t="s">
        <v>601</v>
      </c>
      <c r="E891" s="12" t="s">
        <v>487</v>
      </c>
      <c r="F891" s="70" t="s">
        <v>1745</v>
      </c>
      <c r="G891" s="70" t="s">
        <v>488</v>
      </c>
      <c r="H891" s="70" t="s">
        <v>1745</v>
      </c>
      <c r="I891" s="70" t="s">
        <v>917</v>
      </c>
      <c r="J891" s="70" t="s">
        <v>1746</v>
      </c>
      <c r="K891" s="70" t="s">
        <v>242</v>
      </c>
      <c r="L891" s="70" t="s">
        <v>595</v>
      </c>
      <c r="M891" s="12" t="s">
        <v>918</v>
      </c>
      <c r="N891" s="10">
        <v>1</v>
      </c>
      <c r="O891" s="57">
        <v>2627232</v>
      </c>
      <c r="P891" s="62">
        <f t="shared" si="14"/>
        <v>2627232</v>
      </c>
      <c r="Q891" s="15" t="s">
        <v>395</v>
      </c>
      <c r="R891" s="6" t="s">
        <v>770</v>
      </c>
      <c r="S891" s="38" t="s">
        <v>1179</v>
      </c>
      <c r="T891" s="15">
        <v>0</v>
      </c>
    </row>
    <row r="892" spans="2:20" ht="63.75" outlineLevel="1">
      <c r="B892" s="6">
        <v>876</v>
      </c>
      <c r="C892" s="36" t="s">
        <v>714</v>
      </c>
      <c r="D892" s="6" t="s">
        <v>601</v>
      </c>
      <c r="E892" s="12" t="s">
        <v>1233</v>
      </c>
      <c r="F892" s="70" t="s">
        <v>1747</v>
      </c>
      <c r="G892" s="70" t="s">
        <v>1234</v>
      </c>
      <c r="H892" s="70" t="s">
        <v>1747</v>
      </c>
      <c r="I892" s="70" t="s">
        <v>1234</v>
      </c>
      <c r="J892" s="70" t="s">
        <v>1748</v>
      </c>
      <c r="K892" s="70" t="s">
        <v>32</v>
      </c>
      <c r="L892" s="70" t="s">
        <v>595</v>
      </c>
      <c r="M892" s="12" t="s">
        <v>918</v>
      </c>
      <c r="N892" s="10">
        <v>1</v>
      </c>
      <c r="O892" s="57">
        <f>P892/N892</f>
        <v>722250</v>
      </c>
      <c r="P892" s="62">
        <f>1471250-749000</f>
        <v>722250</v>
      </c>
      <c r="Q892" s="15" t="s">
        <v>395</v>
      </c>
      <c r="R892" s="6" t="s">
        <v>770</v>
      </c>
      <c r="S892" s="38" t="s">
        <v>1179</v>
      </c>
      <c r="T892" s="15">
        <v>0</v>
      </c>
    </row>
    <row r="893" spans="2:20" ht="63.75" outlineLevel="1">
      <c r="B893" s="6">
        <v>877</v>
      </c>
      <c r="C893" s="36" t="s">
        <v>714</v>
      </c>
      <c r="D893" s="6" t="s">
        <v>601</v>
      </c>
      <c r="E893" s="12" t="s">
        <v>1235</v>
      </c>
      <c r="F893" s="70" t="s">
        <v>1749</v>
      </c>
      <c r="G893" s="70" t="s">
        <v>1236</v>
      </c>
      <c r="H893" s="70" t="s">
        <v>1750</v>
      </c>
      <c r="I893" s="70" t="s">
        <v>1237</v>
      </c>
      <c r="J893" s="70" t="s">
        <v>1751</v>
      </c>
      <c r="K893" s="70" t="s">
        <v>243</v>
      </c>
      <c r="L893" s="70" t="s">
        <v>595</v>
      </c>
      <c r="M893" s="12" t="s">
        <v>918</v>
      </c>
      <c r="N893" s="10">
        <v>1</v>
      </c>
      <c r="O893" s="57">
        <v>2977259</v>
      </c>
      <c r="P893" s="62">
        <f t="shared" si="14"/>
        <v>2977259</v>
      </c>
      <c r="Q893" s="15" t="s">
        <v>519</v>
      </c>
      <c r="R893" s="16" t="s">
        <v>1476</v>
      </c>
      <c r="S893" s="38" t="s">
        <v>1179</v>
      </c>
      <c r="T893" s="15">
        <v>100</v>
      </c>
    </row>
    <row r="894" spans="2:20" ht="63.75">
      <c r="B894" s="6">
        <v>878</v>
      </c>
      <c r="C894" s="36" t="s">
        <v>714</v>
      </c>
      <c r="D894" s="6" t="s">
        <v>601</v>
      </c>
      <c r="E894" s="12" t="s">
        <v>1238</v>
      </c>
      <c r="F894" s="70" t="s">
        <v>1752</v>
      </c>
      <c r="G894" s="70" t="s">
        <v>1239</v>
      </c>
      <c r="H894" s="70" t="s">
        <v>1753</v>
      </c>
      <c r="I894" s="70" t="s">
        <v>1240</v>
      </c>
      <c r="J894" s="70" t="s">
        <v>1754</v>
      </c>
      <c r="K894" s="70" t="s">
        <v>36</v>
      </c>
      <c r="L894" s="70" t="s">
        <v>1489</v>
      </c>
      <c r="M894" s="12" t="s">
        <v>918</v>
      </c>
      <c r="N894" s="10">
        <v>1</v>
      </c>
      <c r="O894" s="57">
        <v>3439286</v>
      </c>
      <c r="P894" s="62">
        <f t="shared" si="14"/>
        <v>3439286</v>
      </c>
      <c r="Q894" s="15" t="s">
        <v>395</v>
      </c>
      <c r="R894" s="6" t="s">
        <v>770</v>
      </c>
      <c r="S894" s="38" t="s">
        <v>1179</v>
      </c>
      <c r="T894" s="15">
        <v>0</v>
      </c>
    </row>
    <row r="895" spans="2:20" ht="63.75" outlineLevel="1">
      <c r="B895" s="6">
        <v>879</v>
      </c>
      <c r="C895" s="36" t="s">
        <v>714</v>
      </c>
      <c r="D895" s="6" t="s">
        <v>601</v>
      </c>
      <c r="E895" s="12" t="s">
        <v>1241</v>
      </c>
      <c r="F895" s="70" t="s">
        <v>1755</v>
      </c>
      <c r="G895" s="70" t="s">
        <v>1242</v>
      </c>
      <c r="H895" s="70" t="s">
        <v>1755</v>
      </c>
      <c r="I895" s="70" t="s">
        <v>1243</v>
      </c>
      <c r="J895" s="70" t="s">
        <v>1756</v>
      </c>
      <c r="K895" s="70" t="s">
        <v>244</v>
      </c>
      <c r="L895" s="70" t="s">
        <v>1489</v>
      </c>
      <c r="M895" s="12" t="s">
        <v>918</v>
      </c>
      <c r="N895" s="10">
        <v>1</v>
      </c>
      <c r="O895" s="57">
        <v>3750000</v>
      </c>
      <c r="P895" s="62">
        <f t="shared" si="14"/>
        <v>3750000</v>
      </c>
      <c r="Q895" s="15" t="s">
        <v>519</v>
      </c>
      <c r="R895" s="16" t="s">
        <v>1476</v>
      </c>
      <c r="S895" s="38" t="s">
        <v>1179</v>
      </c>
      <c r="T895" s="15">
        <v>100</v>
      </c>
    </row>
    <row r="896" spans="2:20" ht="153" outlineLevel="1">
      <c r="B896" s="6">
        <v>880</v>
      </c>
      <c r="C896" s="36" t="s">
        <v>714</v>
      </c>
      <c r="D896" s="6" t="s">
        <v>601</v>
      </c>
      <c r="E896" s="12" t="s">
        <v>1244</v>
      </c>
      <c r="F896" s="70" t="s">
        <v>1757</v>
      </c>
      <c r="G896" s="70" t="s">
        <v>1245</v>
      </c>
      <c r="H896" s="70" t="s">
        <v>1758</v>
      </c>
      <c r="I896" s="70" t="s">
        <v>1246</v>
      </c>
      <c r="J896" s="70" t="s">
        <v>1759</v>
      </c>
      <c r="K896" s="70" t="s">
        <v>245</v>
      </c>
      <c r="L896" s="70" t="s">
        <v>595</v>
      </c>
      <c r="M896" s="12" t="s">
        <v>918</v>
      </c>
      <c r="N896" s="10">
        <v>1</v>
      </c>
      <c r="O896" s="57">
        <v>1607143</v>
      </c>
      <c r="P896" s="62">
        <f t="shared" si="14"/>
        <v>1607143</v>
      </c>
      <c r="Q896" s="15" t="s">
        <v>616</v>
      </c>
      <c r="R896" s="16" t="s">
        <v>1476</v>
      </c>
      <c r="S896" s="38" t="s">
        <v>1179</v>
      </c>
      <c r="T896" s="15">
        <v>100</v>
      </c>
    </row>
    <row r="897" spans="2:20" ht="63.75" outlineLevel="1">
      <c r="B897" s="6">
        <v>881</v>
      </c>
      <c r="C897" s="36" t="s">
        <v>714</v>
      </c>
      <c r="D897" s="6" t="s">
        <v>601</v>
      </c>
      <c r="E897" s="12" t="s">
        <v>1247</v>
      </c>
      <c r="F897" s="70" t="s">
        <v>1760</v>
      </c>
      <c r="G897" s="70" t="s">
        <v>1248</v>
      </c>
      <c r="H897" s="70" t="s">
        <v>1760</v>
      </c>
      <c r="I897" s="70" t="s">
        <v>1248</v>
      </c>
      <c r="J897" s="70" t="s">
        <v>1761</v>
      </c>
      <c r="K897" s="70" t="s">
        <v>246</v>
      </c>
      <c r="L897" s="70" t="s">
        <v>595</v>
      </c>
      <c r="M897" s="12" t="s">
        <v>918</v>
      </c>
      <c r="N897" s="10">
        <v>1</v>
      </c>
      <c r="O897" s="57">
        <v>118464</v>
      </c>
      <c r="P897" s="62">
        <f t="shared" si="14"/>
        <v>118464</v>
      </c>
      <c r="Q897" s="15" t="s">
        <v>870</v>
      </c>
      <c r="R897" s="16" t="s">
        <v>1476</v>
      </c>
      <c r="S897" s="38" t="s">
        <v>1179</v>
      </c>
      <c r="T897" s="15">
        <v>100</v>
      </c>
    </row>
    <row r="898" spans="2:20" ht="51" outlineLevel="1">
      <c r="B898" s="6">
        <v>882</v>
      </c>
      <c r="C898" s="16" t="s">
        <v>714</v>
      </c>
      <c r="D898" s="6" t="s">
        <v>601</v>
      </c>
      <c r="E898" s="12" t="s">
        <v>1249</v>
      </c>
      <c r="F898" s="70" t="s">
        <v>1762</v>
      </c>
      <c r="G898" s="70" t="s">
        <v>1250</v>
      </c>
      <c r="H898" s="70" t="s">
        <v>1762</v>
      </c>
      <c r="I898" s="70" t="s">
        <v>1251</v>
      </c>
      <c r="J898" s="70" t="s">
        <v>1763</v>
      </c>
      <c r="K898" s="70" t="s">
        <v>247</v>
      </c>
      <c r="L898" s="70" t="s">
        <v>595</v>
      </c>
      <c r="M898" s="12" t="s">
        <v>918</v>
      </c>
      <c r="N898" s="10">
        <v>1</v>
      </c>
      <c r="O898" s="57">
        <v>2285714</v>
      </c>
      <c r="P898" s="62">
        <f t="shared" si="14"/>
        <v>2285714</v>
      </c>
      <c r="Q898" s="15" t="s">
        <v>395</v>
      </c>
      <c r="R898" s="6" t="s">
        <v>770</v>
      </c>
      <c r="S898" s="38" t="s">
        <v>1179</v>
      </c>
      <c r="T898" s="15">
        <v>0</v>
      </c>
    </row>
    <row r="899" spans="2:20" ht="153" outlineLevel="1">
      <c r="B899" s="6">
        <v>883</v>
      </c>
      <c r="C899" s="16" t="s">
        <v>714</v>
      </c>
      <c r="D899" s="6" t="s">
        <v>601</v>
      </c>
      <c r="E899" s="12" t="s">
        <v>1252</v>
      </c>
      <c r="F899" s="70" t="s">
        <v>1764</v>
      </c>
      <c r="G899" s="70" t="s">
        <v>1253</v>
      </c>
      <c r="H899" s="70" t="s">
        <v>1765</v>
      </c>
      <c r="I899" s="70" t="s">
        <v>1254</v>
      </c>
      <c r="J899" s="70" t="s">
        <v>1766</v>
      </c>
      <c r="K899" s="70" t="s">
        <v>248</v>
      </c>
      <c r="L899" s="70" t="s">
        <v>595</v>
      </c>
      <c r="M899" s="12" t="s">
        <v>918</v>
      </c>
      <c r="N899" s="10">
        <v>1</v>
      </c>
      <c r="O899" s="57">
        <f>P899/N899</f>
        <v>1658160</v>
      </c>
      <c r="P899" s="62">
        <f>5443550-2320162-615714-150000-535714-163800</f>
        <v>1658160</v>
      </c>
      <c r="Q899" s="15" t="s">
        <v>505</v>
      </c>
      <c r="R899" s="16" t="s">
        <v>1476</v>
      </c>
      <c r="S899" s="38" t="s">
        <v>1179</v>
      </c>
      <c r="T899" s="15">
        <v>100</v>
      </c>
    </row>
    <row r="900" spans="2:20" ht="153" outlineLevel="1">
      <c r="B900" s="6">
        <v>884</v>
      </c>
      <c r="C900" s="16" t="s">
        <v>714</v>
      </c>
      <c r="D900" s="6" t="s">
        <v>601</v>
      </c>
      <c r="E900" s="12" t="s">
        <v>1252</v>
      </c>
      <c r="F900" s="70" t="s">
        <v>1764</v>
      </c>
      <c r="G900" s="70" t="s">
        <v>1253</v>
      </c>
      <c r="H900" s="70" t="s">
        <v>1765</v>
      </c>
      <c r="I900" s="70" t="s">
        <v>1254</v>
      </c>
      <c r="J900" s="70" t="s">
        <v>1767</v>
      </c>
      <c r="K900" s="70" t="s">
        <v>249</v>
      </c>
      <c r="L900" s="70" t="s">
        <v>595</v>
      </c>
      <c r="M900" s="12" t="s">
        <v>918</v>
      </c>
      <c r="N900" s="10">
        <v>1</v>
      </c>
      <c r="O900" s="57">
        <v>1387543</v>
      </c>
      <c r="P900" s="62">
        <f t="shared" si="14"/>
        <v>1387543</v>
      </c>
      <c r="Q900" s="15" t="s">
        <v>505</v>
      </c>
      <c r="R900" s="16" t="s">
        <v>1476</v>
      </c>
      <c r="S900" s="38" t="s">
        <v>1179</v>
      </c>
      <c r="T900" s="15">
        <v>100</v>
      </c>
    </row>
    <row r="901" spans="2:20" ht="153" outlineLevel="1">
      <c r="B901" s="6">
        <v>885</v>
      </c>
      <c r="C901" s="16" t="s">
        <v>714</v>
      </c>
      <c r="D901" s="6" t="s">
        <v>601</v>
      </c>
      <c r="E901" s="12" t="s">
        <v>1252</v>
      </c>
      <c r="F901" s="70" t="s">
        <v>1764</v>
      </c>
      <c r="G901" s="70" t="s">
        <v>1253</v>
      </c>
      <c r="H901" s="70" t="s">
        <v>1765</v>
      </c>
      <c r="I901" s="70" t="s">
        <v>1254</v>
      </c>
      <c r="J901" s="70" t="s">
        <v>1768</v>
      </c>
      <c r="K901" s="70" t="s">
        <v>250</v>
      </c>
      <c r="L901" s="70" t="s">
        <v>595</v>
      </c>
      <c r="M901" s="12" t="s">
        <v>918</v>
      </c>
      <c r="N901" s="10">
        <v>1</v>
      </c>
      <c r="O901" s="57">
        <v>170725</v>
      </c>
      <c r="P901" s="62">
        <f t="shared" si="14"/>
        <v>170725</v>
      </c>
      <c r="Q901" s="15" t="s">
        <v>505</v>
      </c>
      <c r="R901" s="16" t="s">
        <v>1476</v>
      </c>
      <c r="S901" s="38" t="s">
        <v>1179</v>
      </c>
      <c r="T901" s="15">
        <v>100</v>
      </c>
    </row>
    <row r="902" spans="2:20" ht="153" outlineLevel="1">
      <c r="B902" s="6">
        <v>886</v>
      </c>
      <c r="C902" s="16" t="s">
        <v>714</v>
      </c>
      <c r="D902" s="6" t="s">
        <v>601</v>
      </c>
      <c r="E902" s="12" t="s">
        <v>1252</v>
      </c>
      <c r="F902" s="70" t="s">
        <v>1764</v>
      </c>
      <c r="G902" s="70" t="s">
        <v>1253</v>
      </c>
      <c r="H902" s="70" t="s">
        <v>1765</v>
      </c>
      <c r="I902" s="70" t="s">
        <v>1254</v>
      </c>
      <c r="J902" s="70" t="s">
        <v>1769</v>
      </c>
      <c r="K902" s="70" t="s">
        <v>251</v>
      </c>
      <c r="L902" s="70" t="s">
        <v>595</v>
      </c>
      <c r="M902" s="12" t="s">
        <v>918</v>
      </c>
      <c r="N902" s="10">
        <v>1</v>
      </c>
      <c r="O902" s="57">
        <v>816875</v>
      </c>
      <c r="P902" s="62">
        <f t="shared" si="14"/>
        <v>816875</v>
      </c>
      <c r="Q902" s="15" t="s">
        <v>505</v>
      </c>
      <c r="R902" s="16" t="s">
        <v>1476</v>
      </c>
      <c r="S902" s="38" t="s">
        <v>1179</v>
      </c>
      <c r="T902" s="15">
        <v>0</v>
      </c>
    </row>
    <row r="903" spans="2:20" ht="51" outlineLevel="1">
      <c r="B903" s="6">
        <v>887</v>
      </c>
      <c r="C903" s="16" t="s">
        <v>714</v>
      </c>
      <c r="D903" s="6" t="s">
        <v>601</v>
      </c>
      <c r="E903" s="12" t="s">
        <v>1255</v>
      </c>
      <c r="F903" s="70" t="s">
        <v>1770</v>
      </c>
      <c r="G903" s="70" t="s">
        <v>1256</v>
      </c>
      <c r="H903" s="70" t="s">
        <v>1770</v>
      </c>
      <c r="I903" s="70" t="s">
        <v>1256</v>
      </c>
      <c r="J903" s="70" t="s">
        <v>1771</v>
      </c>
      <c r="K903" s="70" t="s">
        <v>252</v>
      </c>
      <c r="L903" s="70" t="s">
        <v>595</v>
      </c>
      <c r="M903" s="12" t="s">
        <v>918</v>
      </c>
      <c r="N903" s="10">
        <v>1</v>
      </c>
      <c r="O903" s="57">
        <f>P903/N903</f>
        <v>123286</v>
      </c>
      <c r="P903" s="62">
        <f>676286-553000</f>
        <v>123286</v>
      </c>
      <c r="Q903" s="15" t="s">
        <v>395</v>
      </c>
      <c r="R903" s="6" t="s">
        <v>770</v>
      </c>
      <c r="S903" s="38" t="s">
        <v>1179</v>
      </c>
      <c r="T903" s="15">
        <v>0</v>
      </c>
    </row>
    <row r="904" spans="2:20" ht="153" outlineLevel="1">
      <c r="B904" s="6">
        <v>888</v>
      </c>
      <c r="C904" s="16" t="s">
        <v>714</v>
      </c>
      <c r="D904" s="6" t="s">
        <v>601</v>
      </c>
      <c r="E904" s="12" t="s">
        <v>1324</v>
      </c>
      <c r="F904" s="70" t="s">
        <v>1772</v>
      </c>
      <c r="G904" s="70" t="s">
        <v>1325</v>
      </c>
      <c r="H904" s="70" t="s">
        <v>1773</v>
      </c>
      <c r="I904" s="70" t="s">
        <v>1326</v>
      </c>
      <c r="J904" s="70" t="s">
        <v>1774</v>
      </c>
      <c r="K904" s="70" t="s">
        <v>253</v>
      </c>
      <c r="L904" s="70" t="s">
        <v>595</v>
      </c>
      <c r="M904" s="12" t="s">
        <v>918</v>
      </c>
      <c r="N904" s="26">
        <v>1</v>
      </c>
      <c r="O904" s="57">
        <v>2765714</v>
      </c>
      <c r="P904" s="62">
        <f t="shared" si="14"/>
        <v>2765714</v>
      </c>
      <c r="Q904" s="6" t="s">
        <v>397</v>
      </c>
      <c r="R904" s="6" t="s">
        <v>770</v>
      </c>
      <c r="S904" s="38" t="s">
        <v>1179</v>
      </c>
      <c r="T904" s="15">
        <v>0</v>
      </c>
    </row>
    <row r="905" spans="2:20" ht="153" outlineLevel="1">
      <c r="B905" s="6">
        <v>889</v>
      </c>
      <c r="C905" s="16" t="s">
        <v>714</v>
      </c>
      <c r="D905" s="6" t="s">
        <v>601</v>
      </c>
      <c r="E905" s="12" t="s">
        <v>1327</v>
      </c>
      <c r="F905" s="70" t="s">
        <v>1775</v>
      </c>
      <c r="G905" s="70" t="s">
        <v>1328</v>
      </c>
      <c r="H905" s="70" t="s">
        <v>1773</v>
      </c>
      <c r="I905" s="70" t="s">
        <v>1326</v>
      </c>
      <c r="J905" s="70" t="s">
        <v>1776</v>
      </c>
      <c r="K905" s="70" t="s">
        <v>254</v>
      </c>
      <c r="L905" s="70" t="s">
        <v>595</v>
      </c>
      <c r="M905" s="12" t="s">
        <v>918</v>
      </c>
      <c r="N905" s="26">
        <v>1</v>
      </c>
      <c r="O905" s="57">
        <v>1296429</v>
      </c>
      <c r="P905" s="62">
        <f t="shared" si="14"/>
        <v>1296429</v>
      </c>
      <c r="Q905" s="6" t="s">
        <v>397</v>
      </c>
      <c r="R905" s="6" t="s">
        <v>770</v>
      </c>
      <c r="S905" s="38" t="s">
        <v>1179</v>
      </c>
      <c r="T905" s="15">
        <v>0</v>
      </c>
    </row>
    <row r="906" spans="2:20" ht="153" outlineLevel="1">
      <c r="B906" s="6">
        <v>890</v>
      </c>
      <c r="C906" s="16" t="s">
        <v>714</v>
      </c>
      <c r="D906" s="6" t="s">
        <v>601</v>
      </c>
      <c r="E906" s="12" t="s">
        <v>1329</v>
      </c>
      <c r="F906" s="70" t="s">
        <v>1777</v>
      </c>
      <c r="G906" s="70" t="s">
        <v>1330</v>
      </c>
      <c r="H906" s="70" t="s">
        <v>1773</v>
      </c>
      <c r="I906" s="70" t="s">
        <v>1326</v>
      </c>
      <c r="J906" s="70" t="s">
        <v>1778</v>
      </c>
      <c r="K906" s="70" t="s">
        <v>255</v>
      </c>
      <c r="L906" s="70" t="s">
        <v>595</v>
      </c>
      <c r="M906" s="12" t="s">
        <v>918</v>
      </c>
      <c r="N906" s="26">
        <v>1</v>
      </c>
      <c r="O906" s="57">
        <v>1555714</v>
      </c>
      <c r="P906" s="62">
        <f t="shared" si="14"/>
        <v>1555714</v>
      </c>
      <c r="Q906" s="6" t="s">
        <v>397</v>
      </c>
      <c r="R906" s="6" t="s">
        <v>770</v>
      </c>
      <c r="S906" s="38" t="s">
        <v>1179</v>
      </c>
      <c r="T906" s="15">
        <v>0</v>
      </c>
    </row>
    <row r="907" spans="2:20" ht="63.75" outlineLevel="1">
      <c r="B907" s="6">
        <v>891</v>
      </c>
      <c r="C907" s="16" t="s">
        <v>714</v>
      </c>
      <c r="D907" s="6" t="s">
        <v>601</v>
      </c>
      <c r="E907" s="12" t="s">
        <v>487</v>
      </c>
      <c r="F907" s="70" t="s">
        <v>1780</v>
      </c>
      <c r="G907" s="70" t="s">
        <v>1781</v>
      </c>
      <c r="H907" s="70" t="s">
        <v>1780</v>
      </c>
      <c r="I907" s="70" t="s">
        <v>488</v>
      </c>
      <c r="J907" s="70" t="s">
        <v>1779</v>
      </c>
      <c r="K907" s="70" t="s">
        <v>256</v>
      </c>
      <c r="L907" s="70" t="s">
        <v>595</v>
      </c>
      <c r="M907" s="12" t="s">
        <v>918</v>
      </c>
      <c r="N907" s="26">
        <v>1</v>
      </c>
      <c r="O907" s="57">
        <v>605000</v>
      </c>
      <c r="P907" s="62">
        <f t="shared" si="14"/>
        <v>605000</v>
      </c>
      <c r="Q907" s="6" t="s">
        <v>395</v>
      </c>
      <c r="R907" s="6" t="s">
        <v>770</v>
      </c>
      <c r="S907" s="38" t="s">
        <v>1179</v>
      </c>
      <c r="T907" s="15">
        <v>0</v>
      </c>
    </row>
    <row r="908" spans="2:20" ht="63.75" outlineLevel="1">
      <c r="B908" s="6">
        <v>892</v>
      </c>
      <c r="C908" s="16" t="s">
        <v>714</v>
      </c>
      <c r="D908" s="6" t="s">
        <v>601</v>
      </c>
      <c r="E908" s="12" t="s">
        <v>1331</v>
      </c>
      <c r="F908" s="70" t="s">
        <v>1782</v>
      </c>
      <c r="G908" s="70" t="s">
        <v>1332</v>
      </c>
      <c r="H908" s="70" t="s">
        <v>1783</v>
      </c>
      <c r="I908" s="70" t="s">
        <v>1333</v>
      </c>
      <c r="J908" s="70" t="s">
        <v>1784</v>
      </c>
      <c r="K908" s="70" t="s">
        <v>37</v>
      </c>
      <c r="L908" s="70" t="s">
        <v>595</v>
      </c>
      <c r="M908" s="12" t="s">
        <v>918</v>
      </c>
      <c r="N908" s="26">
        <v>1</v>
      </c>
      <c r="O908" s="57">
        <v>2142857</v>
      </c>
      <c r="P908" s="62">
        <f t="shared" si="14"/>
        <v>2142857</v>
      </c>
      <c r="Q908" s="6" t="s">
        <v>703</v>
      </c>
      <c r="R908" s="6" t="s">
        <v>770</v>
      </c>
      <c r="S908" s="38" t="s">
        <v>1179</v>
      </c>
      <c r="T908" s="15">
        <v>0</v>
      </c>
    </row>
    <row r="909" spans="2:20" ht="51" outlineLevel="1">
      <c r="B909" s="6">
        <v>893</v>
      </c>
      <c r="C909" s="16" t="s">
        <v>714</v>
      </c>
      <c r="D909" s="6" t="s">
        <v>601</v>
      </c>
      <c r="E909" s="58" t="s">
        <v>1130</v>
      </c>
      <c r="F909" s="70" t="s">
        <v>2392</v>
      </c>
      <c r="G909" s="70" t="s">
        <v>1131</v>
      </c>
      <c r="H909" s="70" t="s">
        <v>2392</v>
      </c>
      <c r="I909" s="70" t="s">
        <v>1131</v>
      </c>
      <c r="J909" s="70" t="s">
        <v>1785</v>
      </c>
      <c r="K909" s="70" t="s">
        <v>257</v>
      </c>
      <c r="L909" s="70" t="s">
        <v>595</v>
      </c>
      <c r="M909" s="12" t="s">
        <v>918</v>
      </c>
      <c r="N909" s="26">
        <v>1</v>
      </c>
      <c r="O909" s="57">
        <v>535714</v>
      </c>
      <c r="P909" s="62">
        <f t="shared" si="14"/>
        <v>535714</v>
      </c>
      <c r="Q909" s="6" t="s">
        <v>397</v>
      </c>
      <c r="R909" s="6" t="s">
        <v>770</v>
      </c>
      <c r="S909" s="38" t="s">
        <v>1179</v>
      </c>
      <c r="T909" s="26">
        <v>0</v>
      </c>
    </row>
    <row r="910" spans="2:20" ht="51" outlineLevel="1">
      <c r="B910" s="6">
        <v>894</v>
      </c>
      <c r="C910" s="16" t="s">
        <v>714</v>
      </c>
      <c r="D910" s="6" t="s">
        <v>601</v>
      </c>
      <c r="E910" s="58" t="s">
        <v>1132</v>
      </c>
      <c r="F910" s="70" t="s">
        <v>2393</v>
      </c>
      <c r="G910" s="70" t="s">
        <v>1133</v>
      </c>
      <c r="H910" s="70" t="s">
        <v>2394</v>
      </c>
      <c r="I910" s="70" t="s">
        <v>1134</v>
      </c>
      <c r="J910" s="70" t="s">
        <v>1786</v>
      </c>
      <c r="K910" s="70" t="s">
        <v>33</v>
      </c>
      <c r="L910" s="70" t="s">
        <v>595</v>
      </c>
      <c r="M910" s="12" t="s">
        <v>918</v>
      </c>
      <c r="N910" s="26">
        <v>1</v>
      </c>
      <c r="O910" s="57">
        <v>142857</v>
      </c>
      <c r="P910" s="62">
        <f t="shared" si="14"/>
        <v>142857</v>
      </c>
      <c r="Q910" s="6" t="s">
        <v>510</v>
      </c>
      <c r="R910" s="6" t="s">
        <v>770</v>
      </c>
      <c r="S910" s="38" t="s">
        <v>1179</v>
      </c>
      <c r="T910" s="26">
        <v>0</v>
      </c>
    </row>
    <row r="911" spans="2:20" ht="51" outlineLevel="1">
      <c r="B911" s="6">
        <v>895</v>
      </c>
      <c r="C911" s="16" t="s">
        <v>714</v>
      </c>
      <c r="D911" s="6" t="s">
        <v>601</v>
      </c>
      <c r="E911" s="58" t="s">
        <v>699</v>
      </c>
      <c r="F911" s="70" t="s">
        <v>1787</v>
      </c>
      <c r="G911" s="70" t="s">
        <v>700</v>
      </c>
      <c r="H911" s="70" t="s">
        <v>1787</v>
      </c>
      <c r="I911" s="70" t="s">
        <v>700</v>
      </c>
      <c r="J911" s="70" t="s">
        <v>1788</v>
      </c>
      <c r="K911" s="70" t="s">
        <v>34</v>
      </c>
      <c r="L911" s="70" t="s">
        <v>595</v>
      </c>
      <c r="M911" s="12" t="s">
        <v>918</v>
      </c>
      <c r="N911" s="26">
        <v>1</v>
      </c>
      <c r="O911" s="57">
        <v>1339286</v>
      </c>
      <c r="P911" s="62">
        <f t="shared" si="14"/>
        <v>1339286</v>
      </c>
      <c r="Q911" s="6" t="s">
        <v>505</v>
      </c>
      <c r="R911" s="6" t="s">
        <v>770</v>
      </c>
      <c r="S911" s="38" t="s">
        <v>1179</v>
      </c>
      <c r="T911" s="26">
        <v>0</v>
      </c>
    </row>
    <row r="912" spans="2:20" ht="89.25" outlineLevel="1">
      <c r="B912" s="6">
        <v>896</v>
      </c>
      <c r="C912" s="16" t="s">
        <v>714</v>
      </c>
      <c r="D912" s="6" t="s">
        <v>1469</v>
      </c>
      <c r="E912" s="58" t="s">
        <v>1135</v>
      </c>
      <c r="F912" s="70" t="s">
        <v>2388</v>
      </c>
      <c r="G912" s="70" t="s">
        <v>1136</v>
      </c>
      <c r="H912" s="70" t="s">
        <v>1789</v>
      </c>
      <c r="I912" s="70" t="s">
        <v>1137</v>
      </c>
      <c r="J912" s="70" t="s">
        <v>2389</v>
      </c>
      <c r="K912" s="70" t="s">
        <v>35</v>
      </c>
      <c r="L912" s="70" t="s">
        <v>595</v>
      </c>
      <c r="M912" s="6" t="s">
        <v>1469</v>
      </c>
      <c r="N912" s="26">
        <v>1</v>
      </c>
      <c r="O912" s="57">
        <f>P912/N912</f>
        <v>0</v>
      </c>
      <c r="P912" s="62">
        <f>107143-107143</f>
        <v>0</v>
      </c>
      <c r="Q912" s="6" t="s">
        <v>616</v>
      </c>
      <c r="R912" s="6" t="s">
        <v>770</v>
      </c>
      <c r="S912" s="38" t="s">
        <v>1179</v>
      </c>
      <c r="T912" s="26">
        <v>0</v>
      </c>
    </row>
    <row r="913" spans="1:20" ht="51" outlineLevel="1">
      <c r="B913" s="6">
        <v>897</v>
      </c>
      <c r="C913" s="36" t="s">
        <v>714</v>
      </c>
      <c r="D913" s="43" t="s">
        <v>601</v>
      </c>
      <c r="E913" s="6" t="s">
        <v>487</v>
      </c>
      <c r="F913" s="70" t="s">
        <v>2071</v>
      </c>
      <c r="G913" s="70" t="s">
        <v>488</v>
      </c>
      <c r="H913" s="70" t="s">
        <v>2071</v>
      </c>
      <c r="I913" s="70" t="s">
        <v>917</v>
      </c>
      <c r="J913" s="70" t="s">
        <v>2072</v>
      </c>
      <c r="K913" s="70" t="s">
        <v>39</v>
      </c>
      <c r="L913" s="70" t="s">
        <v>595</v>
      </c>
      <c r="M913" s="12" t="s">
        <v>918</v>
      </c>
      <c r="N913" s="26">
        <v>1</v>
      </c>
      <c r="O913" s="57">
        <v>478759</v>
      </c>
      <c r="P913" s="62">
        <f t="shared" ref="P913:P976" si="15">N913*O913</f>
        <v>478759</v>
      </c>
      <c r="Q913" s="6" t="s">
        <v>397</v>
      </c>
      <c r="R913" s="6" t="s">
        <v>770</v>
      </c>
      <c r="S913" s="38" t="s">
        <v>2038</v>
      </c>
      <c r="T913" s="26">
        <v>0</v>
      </c>
    </row>
    <row r="914" spans="1:20" ht="51" outlineLevel="1">
      <c r="B914" s="6">
        <v>898</v>
      </c>
      <c r="C914" s="16" t="s">
        <v>714</v>
      </c>
      <c r="D914" s="6" t="s">
        <v>601</v>
      </c>
      <c r="E914" s="6" t="s">
        <v>487</v>
      </c>
      <c r="F914" s="70" t="s">
        <v>2071</v>
      </c>
      <c r="G914" s="70" t="s">
        <v>488</v>
      </c>
      <c r="H914" s="70" t="s">
        <v>2071</v>
      </c>
      <c r="I914" s="70" t="s">
        <v>917</v>
      </c>
      <c r="J914" s="70" t="s">
        <v>2072</v>
      </c>
      <c r="K914" s="70" t="s">
        <v>39</v>
      </c>
      <c r="L914" s="70" t="s">
        <v>595</v>
      </c>
      <c r="M914" s="12" t="s">
        <v>918</v>
      </c>
      <c r="N914" s="26">
        <v>1</v>
      </c>
      <c r="O914" s="57">
        <v>512007</v>
      </c>
      <c r="P914" s="62">
        <f t="shared" si="15"/>
        <v>512007</v>
      </c>
      <c r="Q914" s="6" t="s">
        <v>397</v>
      </c>
      <c r="R914" s="6" t="s">
        <v>770</v>
      </c>
      <c r="S914" s="38" t="s">
        <v>1025</v>
      </c>
      <c r="T914" s="6">
        <v>0</v>
      </c>
    </row>
    <row r="915" spans="1:20" ht="51" outlineLevel="1">
      <c r="B915" s="6">
        <v>899</v>
      </c>
      <c r="C915" s="16" t="s">
        <v>714</v>
      </c>
      <c r="D915" s="6" t="s">
        <v>601</v>
      </c>
      <c r="E915" s="6" t="s">
        <v>487</v>
      </c>
      <c r="F915" s="70" t="s">
        <v>2071</v>
      </c>
      <c r="G915" s="70" t="s">
        <v>488</v>
      </c>
      <c r="H915" s="70" t="s">
        <v>2071</v>
      </c>
      <c r="I915" s="70" t="s">
        <v>917</v>
      </c>
      <c r="J915" s="70" t="s">
        <v>2072</v>
      </c>
      <c r="K915" s="70" t="s">
        <v>39</v>
      </c>
      <c r="L915" s="70" t="s">
        <v>595</v>
      </c>
      <c r="M915" s="12" t="s">
        <v>918</v>
      </c>
      <c r="N915" s="26">
        <v>1</v>
      </c>
      <c r="O915" s="57">
        <v>506786</v>
      </c>
      <c r="P915" s="62">
        <f t="shared" si="15"/>
        <v>506786</v>
      </c>
      <c r="Q915" s="6" t="s">
        <v>397</v>
      </c>
      <c r="R915" s="6" t="s">
        <v>770</v>
      </c>
      <c r="S915" s="38" t="s">
        <v>793</v>
      </c>
      <c r="T915" s="6">
        <v>0</v>
      </c>
    </row>
    <row r="916" spans="1:20" ht="51" outlineLevel="1">
      <c r="B916" s="6">
        <v>900</v>
      </c>
      <c r="C916" s="16" t="s">
        <v>714</v>
      </c>
      <c r="D916" s="6" t="s">
        <v>601</v>
      </c>
      <c r="E916" s="6" t="s">
        <v>487</v>
      </c>
      <c r="F916" s="70" t="s">
        <v>2071</v>
      </c>
      <c r="G916" s="70" t="s">
        <v>488</v>
      </c>
      <c r="H916" s="70" t="s">
        <v>2071</v>
      </c>
      <c r="I916" s="70" t="s">
        <v>917</v>
      </c>
      <c r="J916" s="70" t="s">
        <v>2072</v>
      </c>
      <c r="K916" s="70" t="s">
        <v>39</v>
      </c>
      <c r="L916" s="70" t="s">
        <v>595</v>
      </c>
      <c r="M916" s="12" t="s">
        <v>918</v>
      </c>
      <c r="N916" s="26">
        <v>1</v>
      </c>
      <c r="O916" s="57">
        <v>627963</v>
      </c>
      <c r="P916" s="62">
        <f t="shared" si="15"/>
        <v>627963</v>
      </c>
      <c r="Q916" s="6" t="s">
        <v>397</v>
      </c>
      <c r="R916" s="6" t="s">
        <v>770</v>
      </c>
      <c r="S916" s="38" t="s">
        <v>2030</v>
      </c>
      <c r="T916" s="26">
        <v>0</v>
      </c>
    </row>
    <row r="917" spans="1:20" s="14" customFormat="1" ht="51">
      <c r="A917" s="17"/>
      <c r="B917" s="6">
        <v>901</v>
      </c>
      <c r="C917" s="16" t="s">
        <v>714</v>
      </c>
      <c r="D917" s="6" t="s">
        <v>601</v>
      </c>
      <c r="E917" s="6" t="s">
        <v>487</v>
      </c>
      <c r="F917" s="70" t="s">
        <v>2071</v>
      </c>
      <c r="G917" s="70" t="s">
        <v>488</v>
      </c>
      <c r="H917" s="70" t="s">
        <v>2071</v>
      </c>
      <c r="I917" s="70" t="s">
        <v>917</v>
      </c>
      <c r="J917" s="70" t="s">
        <v>2072</v>
      </c>
      <c r="K917" s="70" t="s">
        <v>39</v>
      </c>
      <c r="L917" s="70" t="s">
        <v>595</v>
      </c>
      <c r="M917" s="12" t="s">
        <v>918</v>
      </c>
      <c r="N917" s="26">
        <v>1</v>
      </c>
      <c r="O917" s="57">
        <v>387768</v>
      </c>
      <c r="P917" s="62">
        <f t="shared" si="15"/>
        <v>387768</v>
      </c>
      <c r="Q917" s="6" t="s">
        <v>397</v>
      </c>
      <c r="R917" s="6" t="s">
        <v>770</v>
      </c>
      <c r="S917" s="38" t="s">
        <v>2031</v>
      </c>
      <c r="T917" s="26">
        <v>70</v>
      </c>
    </row>
    <row r="918" spans="1:20" ht="51" outlineLevel="1">
      <c r="B918" s="6">
        <v>902</v>
      </c>
      <c r="C918" s="16" t="s">
        <v>714</v>
      </c>
      <c r="D918" s="6" t="s">
        <v>601</v>
      </c>
      <c r="E918" s="6" t="s">
        <v>487</v>
      </c>
      <c r="F918" s="70" t="s">
        <v>2071</v>
      </c>
      <c r="G918" s="70" t="s">
        <v>488</v>
      </c>
      <c r="H918" s="70" t="s">
        <v>2071</v>
      </c>
      <c r="I918" s="70" t="s">
        <v>917</v>
      </c>
      <c r="J918" s="70" t="s">
        <v>2072</v>
      </c>
      <c r="K918" s="70" t="s">
        <v>39</v>
      </c>
      <c r="L918" s="70" t="s">
        <v>595</v>
      </c>
      <c r="M918" s="12" t="s">
        <v>918</v>
      </c>
      <c r="N918" s="26">
        <v>1</v>
      </c>
      <c r="O918" s="57">
        <v>636384</v>
      </c>
      <c r="P918" s="62">
        <f t="shared" si="15"/>
        <v>636384</v>
      </c>
      <c r="Q918" s="6" t="s">
        <v>397</v>
      </c>
      <c r="R918" s="6" t="s">
        <v>770</v>
      </c>
      <c r="S918" s="38" t="s">
        <v>637</v>
      </c>
      <c r="T918" s="26">
        <v>0</v>
      </c>
    </row>
    <row r="919" spans="1:20" ht="51" outlineLevel="1">
      <c r="B919" s="6">
        <v>903</v>
      </c>
      <c r="C919" s="16" t="s">
        <v>714</v>
      </c>
      <c r="D919" s="6" t="s">
        <v>601</v>
      </c>
      <c r="E919" s="6" t="s">
        <v>487</v>
      </c>
      <c r="F919" s="70" t="s">
        <v>2071</v>
      </c>
      <c r="G919" s="70" t="s">
        <v>488</v>
      </c>
      <c r="H919" s="70" t="s">
        <v>2071</v>
      </c>
      <c r="I919" s="70" t="s">
        <v>917</v>
      </c>
      <c r="J919" s="70" t="s">
        <v>2072</v>
      </c>
      <c r="K919" s="70" t="s">
        <v>39</v>
      </c>
      <c r="L919" s="70" t="s">
        <v>595</v>
      </c>
      <c r="M919" s="12" t="s">
        <v>918</v>
      </c>
      <c r="N919" s="26">
        <v>1</v>
      </c>
      <c r="O919" s="57">
        <v>437679</v>
      </c>
      <c r="P919" s="62">
        <f t="shared" si="15"/>
        <v>437679</v>
      </c>
      <c r="Q919" s="6" t="s">
        <v>397</v>
      </c>
      <c r="R919" s="6" t="s">
        <v>770</v>
      </c>
      <c r="S919" s="38">
        <v>311000000</v>
      </c>
      <c r="T919" s="15">
        <v>0</v>
      </c>
    </row>
    <row r="920" spans="1:20" ht="51" outlineLevel="1">
      <c r="B920" s="6">
        <v>904</v>
      </c>
      <c r="C920" s="16" t="s">
        <v>714</v>
      </c>
      <c r="D920" s="6" t="s">
        <v>601</v>
      </c>
      <c r="E920" s="6" t="s">
        <v>487</v>
      </c>
      <c r="F920" s="70" t="s">
        <v>2071</v>
      </c>
      <c r="G920" s="70" t="s">
        <v>488</v>
      </c>
      <c r="H920" s="70" t="s">
        <v>2071</v>
      </c>
      <c r="I920" s="70" t="s">
        <v>917</v>
      </c>
      <c r="J920" s="70" t="s">
        <v>2072</v>
      </c>
      <c r="K920" s="70" t="s">
        <v>39</v>
      </c>
      <c r="L920" s="70" t="s">
        <v>595</v>
      </c>
      <c r="M920" s="12" t="s">
        <v>918</v>
      </c>
      <c r="N920" s="26">
        <v>1</v>
      </c>
      <c r="O920" s="57">
        <v>220279</v>
      </c>
      <c r="P920" s="62">
        <f t="shared" si="15"/>
        <v>220279</v>
      </c>
      <c r="Q920" s="6" t="s">
        <v>395</v>
      </c>
      <c r="R920" s="6" t="s">
        <v>770</v>
      </c>
      <c r="S920" s="38" t="s">
        <v>2032</v>
      </c>
      <c r="T920" s="6">
        <v>30</v>
      </c>
    </row>
    <row r="921" spans="1:20" ht="51" outlineLevel="1">
      <c r="B921" s="6">
        <v>905</v>
      </c>
      <c r="C921" s="16" t="s">
        <v>714</v>
      </c>
      <c r="D921" s="6" t="s">
        <v>601</v>
      </c>
      <c r="E921" s="6" t="s">
        <v>487</v>
      </c>
      <c r="F921" s="70" t="s">
        <v>2071</v>
      </c>
      <c r="G921" s="70" t="s">
        <v>488</v>
      </c>
      <c r="H921" s="70" t="s">
        <v>2071</v>
      </c>
      <c r="I921" s="70" t="s">
        <v>917</v>
      </c>
      <c r="J921" s="70" t="s">
        <v>2072</v>
      </c>
      <c r="K921" s="70" t="s">
        <v>39</v>
      </c>
      <c r="L921" s="70" t="s">
        <v>595</v>
      </c>
      <c r="M921" s="12" t="s">
        <v>918</v>
      </c>
      <c r="N921" s="26">
        <v>1</v>
      </c>
      <c r="O921" s="57">
        <v>671536</v>
      </c>
      <c r="P921" s="62">
        <f t="shared" si="15"/>
        <v>671536</v>
      </c>
      <c r="Q921" s="6" t="s">
        <v>397</v>
      </c>
      <c r="R921" s="6" t="s">
        <v>770</v>
      </c>
      <c r="S921" s="38">
        <v>351000000</v>
      </c>
      <c r="T921" s="26">
        <v>0</v>
      </c>
    </row>
    <row r="922" spans="1:20" ht="51" outlineLevel="1">
      <c r="B922" s="6">
        <v>906</v>
      </c>
      <c r="C922" s="16" t="s">
        <v>714</v>
      </c>
      <c r="D922" s="6" t="s">
        <v>601</v>
      </c>
      <c r="E922" s="6" t="s">
        <v>487</v>
      </c>
      <c r="F922" s="70" t="s">
        <v>2071</v>
      </c>
      <c r="G922" s="70" t="s">
        <v>488</v>
      </c>
      <c r="H922" s="70" t="s">
        <v>2071</v>
      </c>
      <c r="I922" s="70" t="s">
        <v>917</v>
      </c>
      <c r="J922" s="70" t="s">
        <v>2072</v>
      </c>
      <c r="K922" s="70" t="s">
        <v>39</v>
      </c>
      <c r="L922" s="70" t="s">
        <v>595</v>
      </c>
      <c r="M922" s="12" t="s">
        <v>918</v>
      </c>
      <c r="N922" s="26">
        <v>1</v>
      </c>
      <c r="O922" s="57">
        <v>607589</v>
      </c>
      <c r="P922" s="62">
        <f t="shared" si="15"/>
        <v>607589</v>
      </c>
      <c r="Q922" s="6" t="s">
        <v>397</v>
      </c>
      <c r="R922" s="6" t="s">
        <v>770</v>
      </c>
      <c r="S922" s="38" t="s">
        <v>929</v>
      </c>
      <c r="T922" s="26">
        <v>0</v>
      </c>
    </row>
    <row r="923" spans="1:20" ht="51" outlineLevel="1">
      <c r="B923" s="6">
        <v>907</v>
      </c>
      <c r="C923" s="16" t="s">
        <v>714</v>
      </c>
      <c r="D923" s="6" t="s">
        <v>601</v>
      </c>
      <c r="E923" s="6" t="s">
        <v>487</v>
      </c>
      <c r="F923" s="70" t="s">
        <v>2071</v>
      </c>
      <c r="G923" s="70" t="s">
        <v>488</v>
      </c>
      <c r="H923" s="70" t="s">
        <v>2071</v>
      </c>
      <c r="I923" s="70" t="s">
        <v>917</v>
      </c>
      <c r="J923" s="70" t="s">
        <v>2072</v>
      </c>
      <c r="K923" s="70" t="s">
        <v>39</v>
      </c>
      <c r="L923" s="70" t="s">
        <v>595</v>
      </c>
      <c r="M923" s="12" t="s">
        <v>918</v>
      </c>
      <c r="N923" s="26">
        <v>1</v>
      </c>
      <c r="O923" s="57">
        <v>460522</v>
      </c>
      <c r="P923" s="62">
        <f t="shared" si="15"/>
        <v>460522</v>
      </c>
      <c r="Q923" s="6" t="s">
        <v>397</v>
      </c>
      <c r="R923" s="6" t="s">
        <v>770</v>
      </c>
      <c r="S923" s="38">
        <v>431000000</v>
      </c>
      <c r="T923" s="26">
        <v>0</v>
      </c>
    </row>
    <row r="924" spans="1:20" ht="51" outlineLevel="1">
      <c r="B924" s="6">
        <v>908</v>
      </c>
      <c r="C924" s="36" t="s">
        <v>714</v>
      </c>
      <c r="D924" s="43" t="s">
        <v>601</v>
      </c>
      <c r="E924" s="6" t="s">
        <v>487</v>
      </c>
      <c r="F924" s="70" t="s">
        <v>2071</v>
      </c>
      <c r="G924" s="70" t="s">
        <v>488</v>
      </c>
      <c r="H924" s="70" t="s">
        <v>2071</v>
      </c>
      <c r="I924" s="70" t="s">
        <v>917</v>
      </c>
      <c r="J924" s="70" t="s">
        <v>2072</v>
      </c>
      <c r="K924" s="70" t="s">
        <v>39</v>
      </c>
      <c r="L924" s="70" t="s">
        <v>595</v>
      </c>
      <c r="M924" s="12" t="s">
        <v>918</v>
      </c>
      <c r="N924" s="65">
        <v>1</v>
      </c>
      <c r="O924" s="57">
        <v>628875</v>
      </c>
      <c r="P924" s="62">
        <f t="shared" si="15"/>
        <v>628875</v>
      </c>
      <c r="Q924" s="6" t="s">
        <v>397</v>
      </c>
      <c r="R924" s="6" t="s">
        <v>770</v>
      </c>
      <c r="S924" s="38" t="s">
        <v>719</v>
      </c>
      <c r="T924" s="26">
        <v>100</v>
      </c>
    </row>
    <row r="925" spans="1:20" s="39" customFormat="1" ht="51">
      <c r="B925" s="6">
        <v>909</v>
      </c>
      <c r="C925" s="16" t="s">
        <v>714</v>
      </c>
      <c r="D925" s="6" t="s">
        <v>601</v>
      </c>
      <c r="E925" s="6" t="s">
        <v>487</v>
      </c>
      <c r="F925" s="70" t="s">
        <v>2071</v>
      </c>
      <c r="G925" s="70" t="s">
        <v>488</v>
      </c>
      <c r="H925" s="70" t="s">
        <v>2071</v>
      </c>
      <c r="I925" s="70" t="s">
        <v>917</v>
      </c>
      <c r="J925" s="70" t="s">
        <v>2072</v>
      </c>
      <c r="K925" s="70" t="s">
        <v>39</v>
      </c>
      <c r="L925" s="70" t="s">
        <v>595</v>
      </c>
      <c r="M925" s="12" t="s">
        <v>918</v>
      </c>
      <c r="N925" s="26">
        <v>1</v>
      </c>
      <c r="O925" s="57">
        <v>490306</v>
      </c>
      <c r="P925" s="62">
        <f t="shared" si="15"/>
        <v>490306</v>
      </c>
      <c r="Q925" s="6" t="s">
        <v>397</v>
      </c>
      <c r="R925" s="6" t="s">
        <v>398</v>
      </c>
      <c r="S925" s="38">
        <v>551000000</v>
      </c>
      <c r="T925" s="26">
        <v>0</v>
      </c>
    </row>
    <row r="926" spans="1:20" ht="51" outlineLevel="1">
      <c r="B926" s="6">
        <v>910</v>
      </c>
      <c r="C926" s="16" t="s">
        <v>945</v>
      </c>
      <c r="D926" s="6" t="s">
        <v>601</v>
      </c>
      <c r="E926" s="6" t="s">
        <v>487</v>
      </c>
      <c r="F926" s="70" t="s">
        <v>2071</v>
      </c>
      <c r="G926" s="70" t="s">
        <v>488</v>
      </c>
      <c r="H926" s="70" t="s">
        <v>2071</v>
      </c>
      <c r="I926" s="70" t="s">
        <v>917</v>
      </c>
      <c r="J926" s="70" t="s">
        <v>2072</v>
      </c>
      <c r="K926" s="70" t="s">
        <v>39</v>
      </c>
      <c r="L926" s="70" t="s">
        <v>595</v>
      </c>
      <c r="M926" s="12" t="s">
        <v>918</v>
      </c>
      <c r="N926" s="26">
        <v>1</v>
      </c>
      <c r="O926" s="57">
        <v>483635</v>
      </c>
      <c r="P926" s="62">
        <f t="shared" si="15"/>
        <v>483635</v>
      </c>
      <c r="Q926" s="6" t="s">
        <v>397</v>
      </c>
      <c r="R926" s="6" t="s">
        <v>770</v>
      </c>
      <c r="S926" s="38">
        <v>591000000</v>
      </c>
      <c r="T926" s="26">
        <v>0</v>
      </c>
    </row>
    <row r="927" spans="1:20" ht="51" outlineLevel="1">
      <c r="B927" s="6">
        <v>911</v>
      </c>
      <c r="C927" s="16" t="s">
        <v>714</v>
      </c>
      <c r="D927" s="6" t="s">
        <v>601</v>
      </c>
      <c r="E927" s="6" t="s">
        <v>487</v>
      </c>
      <c r="F927" s="70" t="s">
        <v>2071</v>
      </c>
      <c r="G927" s="70" t="s">
        <v>488</v>
      </c>
      <c r="H927" s="70" t="s">
        <v>2071</v>
      </c>
      <c r="I927" s="70" t="s">
        <v>917</v>
      </c>
      <c r="J927" s="70" t="s">
        <v>2072</v>
      </c>
      <c r="K927" s="70" t="s">
        <v>39</v>
      </c>
      <c r="L927" s="70" t="s">
        <v>595</v>
      </c>
      <c r="M927" s="12" t="s">
        <v>918</v>
      </c>
      <c r="N927" s="26">
        <v>1</v>
      </c>
      <c r="O927" s="57">
        <v>463882</v>
      </c>
      <c r="P927" s="62">
        <f t="shared" si="15"/>
        <v>463882</v>
      </c>
      <c r="Q927" s="6" t="s">
        <v>397</v>
      </c>
      <c r="R927" s="6" t="s">
        <v>770</v>
      </c>
      <c r="S927" s="38" t="s">
        <v>2037</v>
      </c>
      <c r="T927" s="6">
        <v>0</v>
      </c>
    </row>
    <row r="928" spans="1:20" ht="63.75" outlineLevel="1">
      <c r="B928" s="6">
        <v>912</v>
      </c>
      <c r="C928" s="36" t="s">
        <v>714</v>
      </c>
      <c r="D928" s="43" t="s">
        <v>601</v>
      </c>
      <c r="E928" s="6" t="s">
        <v>487</v>
      </c>
      <c r="F928" s="70" t="s">
        <v>2073</v>
      </c>
      <c r="G928" s="70" t="s">
        <v>488</v>
      </c>
      <c r="H928" s="70" t="s">
        <v>2073</v>
      </c>
      <c r="I928" s="70" t="s">
        <v>917</v>
      </c>
      <c r="J928" s="70" t="s">
        <v>2074</v>
      </c>
      <c r="K928" s="70" t="s">
        <v>258</v>
      </c>
      <c r="L928" s="70" t="s">
        <v>595</v>
      </c>
      <c r="M928" s="12" t="s">
        <v>918</v>
      </c>
      <c r="N928" s="26">
        <v>1</v>
      </c>
      <c r="O928" s="57">
        <v>267857</v>
      </c>
      <c r="P928" s="62">
        <f t="shared" si="15"/>
        <v>267857</v>
      </c>
      <c r="Q928" s="6" t="s">
        <v>397</v>
      </c>
      <c r="R928" s="6" t="s">
        <v>770</v>
      </c>
      <c r="S928" s="38" t="s">
        <v>2038</v>
      </c>
      <c r="T928" s="26">
        <v>0</v>
      </c>
    </row>
    <row r="929" spans="1:20" ht="63.75" outlineLevel="1">
      <c r="B929" s="6">
        <v>913</v>
      </c>
      <c r="C929" s="16" t="s">
        <v>714</v>
      </c>
      <c r="D929" s="6" t="s">
        <v>601</v>
      </c>
      <c r="E929" s="6" t="s">
        <v>487</v>
      </c>
      <c r="F929" s="70" t="s">
        <v>2073</v>
      </c>
      <c r="G929" s="70" t="s">
        <v>488</v>
      </c>
      <c r="H929" s="70" t="s">
        <v>2073</v>
      </c>
      <c r="I929" s="70" t="s">
        <v>917</v>
      </c>
      <c r="J929" s="70" t="s">
        <v>2074</v>
      </c>
      <c r="K929" s="70" t="s">
        <v>258</v>
      </c>
      <c r="L929" s="70" t="s">
        <v>595</v>
      </c>
      <c r="M929" s="12" t="s">
        <v>918</v>
      </c>
      <c r="N929" s="26">
        <v>1</v>
      </c>
      <c r="O929" s="57">
        <v>267857</v>
      </c>
      <c r="P929" s="62">
        <f t="shared" si="15"/>
        <v>267857</v>
      </c>
      <c r="Q929" s="6" t="s">
        <v>397</v>
      </c>
      <c r="R929" s="6" t="s">
        <v>770</v>
      </c>
      <c r="S929" s="38" t="s">
        <v>1025</v>
      </c>
      <c r="T929" s="6">
        <v>0</v>
      </c>
    </row>
    <row r="930" spans="1:20" ht="63.75" outlineLevel="1">
      <c r="B930" s="6">
        <v>914</v>
      </c>
      <c r="C930" s="16" t="s">
        <v>714</v>
      </c>
      <c r="D930" s="6" t="s">
        <v>601</v>
      </c>
      <c r="E930" s="6" t="s">
        <v>487</v>
      </c>
      <c r="F930" s="70" t="s">
        <v>2073</v>
      </c>
      <c r="G930" s="70" t="s">
        <v>488</v>
      </c>
      <c r="H930" s="70" t="s">
        <v>2073</v>
      </c>
      <c r="I930" s="70" t="s">
        <v>917</v>
      </c>
      <c r="J930" s="70" t="s">
        <v>2074</v>
      </c>
      <c r="K930" s="70" t="s">
        <v>258</v>
      </c>
      <c r="L930" s="70" t="s">
        <v>595</v>
      </c>
      <c r="M930" s="12" t="s">
        <v>918</v>
      </c>
      <c r="N930" s="26">
        <v>1</v>
      </c>
      <c r="O930" s="57">
        <v>267857</v>
      </c>
      <c r="P930" s="62">
        <f t="shared" si="15"/>
        <v>267857</v>
      </c>
      <c r="Q930" s="6" t="s">
        <v>397</v>
      </c>
      <c r="R930" s="6" t="s">
        <v>770</v>
      </c>
      <c r="S930" s="38" t="s">
        <v>793</v>
      </c>
      <c r="T930" s="6">
        <v>0</v>
      </c>
    </row>
    <row r="931" spans="1:20" ht="63.75" outlineLevel="1">
      <c r="B931" s="6">
        <v>915</v>
      </c>
      <c r="C931" s="16" t="s">
        <v>714</v>
      </c>
      <c r="D931" s="6" t="s">
        <v>601</v>
      </c>
      <c r="E931" s="6" t="s">
        <v>487</v>
      </c>
      <c r="F931" s="70" t="s">
        <v>2073</v>
      </c>
      <c r="G931" s="70" t="s">
        <v>488</v>
      </c>
      <c r="H931" s="70" t="s">
        <v>2073</v>
      </c>
      <c r="I931" s="70" t="s">
        <v>917</v>
      </c>
      <c r="J931" s="70" t="s">
        <v>2074</v>
      </c>
      <c r="K931" s="70" t="s">
        <v>258</v>
      </c>
      <c r="L931" s="70" t="s">
        <v>595</v>
      </c>
      <c r="M931" s="12" t="s">
        <v>918</v>
      </c>
      <c r="N931" s="26">
        <v>1</v>
      </c>
      <c r="O931" s="57">
        <v>267857</v>
      </c>
      <c r="P931" s="62">
        <f t="shared" si="15"/>
        <v>267857</v>
      </c>
      <c r="Q931" s="6" t="s">
        <v>397</v>
      </c>
      <c r="R931" s="6" t="s">
        <v>770</v>
      </c>
      <c r="S931" s="38" t="s">
        <v>2030</v>
      </c>
      <c r="T931" s="15">
        <v>0</v>
      </c>
    </row>
    <row r="932" spans="1:20" s="14" customFormat="1" ht="63.75">
      <c r="A932" s="17"/>
      <c r="B932" s="6">
        <v>916</v>
      </c>
      <c r="C932" s="16" t="s">
        <v>714</v>
      </c>
      <c r="D932" s="6" t="s">
        <v>601</v>
      </c>
      <c r="E932" s="6" t="s">
        <v>487</v>
      </c>
      <c r="F932" s="70" t="s">
        <v>2073</v>
      </c>
      <c r="G932" s="70" t="s">
        <v>488</v>
      </c>
      <c r="H932" s="70" t="s">
        <v>2073</v>
      </c>
      <c r="I932" s="70" t="s">
        <v>917</v>
      </c>
      <c r="J932" s="70" t="s">
        <v>2074</v>
      </c>
      <c r="K932" s="70" t="s">
        <v>258</v>
      </c>
      <c r="L932" s="70" t="s">
        <v>595</v>
      </c>
      <c r="M932" s="12" t="s">
        <v>918</v>
      </c>
      <c r="N932" s="26">
        <v>1</v>
      </c>
      <c r="O932" s="57">
        <v>267857</v>
      </c>
      <c r="P932" s="62">
        <f t="shared" si="15"/>
        <v>267857</v>
      </c>
      <c r="Q932" s="6" t="s">
        <v>397</v>
      </c>
      <c r="R932" s="6" t="s">
        <v>770</v>
      </c>
      <c r="S932" s="38" t="s">
        <v>2031</v>
      </c>
      <c r="T932" s="26">
        <v>70</v>
      </c>
    </row>
    <row r="933" spans="1:20" ht="63.75" outlineLevel="1">
      <c r="B933" s="6">
        <v>917</v>
      </c>
      <c r="C933" s="16" t="s">
        <v>714</v>
      </c>
      <c r="D933" s="6" t="s">
        <v>601</v>
      </c>
      <c r="E933" s="6" t="s">
        <v>487</v>
      </c>
      <c r="F933" s="70" t="s">
        <v>2073</v>
      </c>
      <c r="G933" s="70" t="s">
        <v>488</v>
      </c>
      <c r="H933" s="70" t="s">
        <v>2073</v>
      </c>
      <c r="I933" s="70" t="s">
        <v>917</v>
      </c>
      <c r="J933" s="70" t="s">
        <v>2074</v>
      </c>
      <c r="K933" s="70" t="s">
        <v>258</v>
      </c>
      <c r="L933" s="70" t="s">
        <v>595</v>
      </c>
      <c r="M933" s="12" t="s">
        <v>918</v>
      </c>
      <c r="N933" s="26">
        <v>1</v>
      </c>
      <c r="O933" s="57">
        <v>267857</v>
      </c>
      <c r="P933" s="62">
        <f t="shared" si="15"/>
        <v>267857</v>
      </c>
      <c r="Q933" s="6" t="s">
        <v>397</v>
      </c>
      <c r="R933" s="6" t="s">
        <v>770</v>
      </c>
      <c r="S933" s="38" t="s">
        <v>637</v>
      </c>
      <c r="T933" s="26">
        <v>0</v>
      </c>
    </row>
    <row r="934" spans="1:20" ht="63.75" outlineLevel="1">
      <c r="B934" s="6">
        <v>918</v>
      </c>
      <c r="C934" s="16" t="s">
        <v>714</v>
      </c>
      <c r="D934" s="6" t="s">
        <v>601</v>
      </c>
      <c r="E934" s="6" t="s">
        <v>487</v>
      </c>
      <c r="F934" s="70" t="s">
        <v>2073</v>
      </c>
      <c r="G934" s="70" t="s">
        <v>488</v>
      </c>
      <c r="H934" s="70" t="s">
        <v>2073</v>
      </c>
      <c r="I934" s="70" t="s">
        <v>917</v>
      </c>
      <c r="J934" s="70" t="s">
        <v>2074</v>
      </c>
      <c r="K934" s="70" t="s">
        <v>258</v>
      </c>
      <c r="L934" s="70" t="s">
        <v>595</v>
      </c>
      <c r="M934" s="12" t="s">
        <v>918</v>
      </c>
      <c r="N934" s="26">
        <v>1</v>
      </c>
      <c r="O934" s="57">
        <v>267857</v>
      </c>
      <c r="P934" s="62">
        <f t="shared" si="15"/>
        <v>267857</v>
      </c>
      <c r="Q934" s="6" t="s">
        <v>397</v>
      </c>
      <c r="R934" s="6" t="s">
        <v>770</v>
      </c>
      <c r="S934" s="38" t="s">
        <v>698</v>
      </c>
      <c r="T934" s="26">
        <v>0</v>
      </c>
    </row>
    <row r="935" spans="1:20" ht="63.75" outlineLevel="1">
      <c r="B935" s="6">
        <v>919</v>
      </c>
      <c r="C935" s="16" t="s">
        <v>714</v>
      </c>
      <c r="D935" s="6" t="s">
        <v>601</v>
      </c>
      <c r="E935" s="6" t="s">
        <v>487</v>
      </c>
      <c r="F935" s="70" t="s">
        <v>2073</v>
      </c>
      <c r="G935" s="70" t="s">
        <v>488</v>
      </c>
      <c r="H935" s="70" t="s">
        <v>2073</v>
      </c>
      <c r="I935" s="70" t="s">
        <v>917</v>
      </c>
      <c r="J935" s="70" t="s">
        <v>2074</v>
      </c>
      <c r="K935" s="70" t="s">
        <v>258</v>
      </c>
      <c r="L935" s="70" t="s">
        <v>595</v>
      </c>
      <c r="M935" s="12" t="s">
        <v>918</v>
      </c>
      <c r="N935" s="26">
        <v>1</v>
      </c>
      <c r="O935" s="57">
        <v>267857</v>
      </c>
      <c r="P935" s="62">
        <f t="shared" si="15"/>
        <v>267857</v>
      </c>
      <c r="Q935" s="6" t="s">
        <v>397</v>
      </c>
      <c r="R935" s="6" t="s">
        <v>770</v>
      </c>
      <c r="S935" s="38">
        <v>311000000</v>
      </c>
      <c r="T935" s="15">
        <v>0</v>
      </c>
    </row>
    <row r="936" spans="1:20" ht="63.75" outlineLevel="1">
      <c r="B936" s="6">
        <v>920</v>
      </c>
      <c r="C936" s="16" t="s">
        <v>714</v>
      </c>
      <c r="D936" s="6" t="s">
        <v>601</v>
      </c>
      <c r="E936" s="6" t="s">
        <v>487</v>
      </c>
      <c r="F936" s="70" t="s">
        <v>2073</v>
      </c>
      <c r="G936" s="70" t="s">
        <v>488</v>
      </c>
      <c r="H936" s="70" t="s">
        <v>2073</v>
      </c>
      <c r="I936" s="70" t="s">
        <v>917</v>
      </c>
      <c r="J936" s="70" t="s">
        <v>2074</v>
      </c>
      <c r="K936" s="70" t="s">
        <v>258</v>
      </c>
      <c r="L936" s="70" t="s">
        <v>595</v>
      </c>
      <c r="M936" s="12" t="s">
        <v>918</v>
      </c>
      <c r="N936" s="26">
        <v>1</v>
      </c>
      <c r="O936" s="57">
        <v>267857</v>
      </c>
      <c r="P936" s="62">
        <f t="shared" si="15"/>
        <v>267857</v>
      </c>
      <c r="Q936" s="6" t="s">
        <v>397</v>
      </c>
      <c r="R936" s="6" t="s">
        <v>770</v>
      </c>
      <c r="S936" s="38" t="s">
        <v>2032</v>
      </c>
      <c r="T936" s="6">
        <v>30</v>
      </c>
    </row>
    <row r="937" spans="1:20" ht="63.75" outlineLevel="1">
      <c r="B937" s="6">
        <v>921</v>
      </c>
      <c r="C937" s="16" t="s">
        <v>714</v>
      </c>
      <c r="D937" s="6" t="s">
        <v>601</v>
      </c>
      <c r="E937" s="6" t="s">
        <v>487</v>
      </c>
      <c r="F937" s="70" t="s">
        <v>2073</v>
      </c>
      <c r="G937" s="70" t="s">
        <v>488</v>
      </c>
      <c r="H937" s="70" t="s">
        <v>2073</v>
      </c>
      <c r="I937" s="70" t="s">
        <v>917</v>
      </c>
      <c r="J937" s="70" t="s">
        <v>2074</v>
      </c>
      <c r="K937" s="70" t="s">
        <v>258</v>
      </c>
      <c r="L937" s="70" t="s">
        <v>595</v>
      </c>
      <c r="M937" s="12" t="s">
        <v>918</v>
      </c>
      <c r="N937" s="26">
        <v>1</v>
      </c>
      <c r="O937" s="57">
        <v>267857</v>
      </c>
      <c r="P937" s="62">
        <f t="shared" si="15"/>
        <v>267857</v>
      </c>
      <c r="Q937" s="6" t="s">
        <v>397</v>
      </c>
      <c r="R937" s="6" t="s">
        <v>770</v>
      </c>
      <c r="S937" s="38">
        <v>351000000</v>
      </c>
      <c r="T937" s="26">
        <v>0</v>
      </c>
    </row>
    <row r="938" spans="1:20" ht="63.75" outlineLevel="1">
      <c r="B938" s="6">
        <v>922</v>
      </c>
      <c r="C938" s="16" t="s">
        <v>714</v>
      </c>
      <c r="D938" s="6" t="s">
        <v>601</v>
      </c>
      <c r="E938" s="6" t="s">
        <v>487</v>
      </c>
      <c r="F938" s="70" t="s">
        <v>2073</v>
      </c>
      <c r="G938" s="70" t="s">
        <v>488</v>
      </c>
      <c r="H938" s="70" t="s">
        <v>2073</v>
      </c>
      <c r="I938" s="70" t="s">
        <v>917</v>
      </c>
      <c r="J938" s="70" t="s">
        <v>2074</v>
      </c>
      <c r="K938" s="70" t="s">
        <v>258</v>
      </c>
      <c r="L938" s="70" t="s">
        <v>595</v>
      </c>
      <c r="M938" s="12" t="s">
        <v>918</v>
      </c>
      <c r="N938" s="26">
        <v>1</v>
      </c>
      <c r="O938" s="57">
        <v>267857</v>
      </c>
      <c r="P938" s="62">
        <f t="shared" si="15"/>
        <v>267857</v>
      </c>
      <c r="Q938" s="6" t="s">
        <v>397</v>
      </c>
      <c r="R938" s="6" t="s">
        <v>770</v>
      </c>
      <c r="S938" s="38" t="s">
        <v>929</v>
      </c>
      <c r="T938" s="26">
        <v>0</v>
      </c>
    </row>
    <row r="939" spans="1:20" ht="63.75" outlineLevel="1">
      <c r="B939" s="6">
        <v>923</v>
      </c>
      <c r="C939" s="16" t="s">
        <v>714</v>
      </c>
      <c r="D939" s="6" t="s">
        <v>601</v>
      </c>
      <c r="E939" s="6" t="s">
        <v>487</v>
      </c>
      <c r="F939" s="70" t="s">
        <v>2073</v>
      </c>
      <c r="G939" s="70" t="s">
        <v>488</v>
      </c>
      <c r="H939" s="70" t="s">
        <v>2073</v>
      </c>
      <c r="I939" s="70" t="s">
        <v>917</v>
      </c>
      <c r="J939" s="70" t="s">
        <v>2074</v>
      </c>
      <c r="K939" s="70" t="s">
        <v>258</v>
      </c>
      <c r="L939" s="70" t="s">
        <v>595</v>
      </c>
      <c r="M939" s="12" t="s">
        <v>918</v>
      </c>
      <c r="N939" s="26">
        <v>1</v>
      </c>
      <c r="O939" s="57">
        <v>267857</v>
      </c>
      <c r="P939" s="62">
        <f t="shared" si="15"/>
        <v>267857</v>
      </c>
      <c r="Q939" s="6" t="s">
        <v>397</v>
      </c>
      <c r="R939" s="6" t="s">
        <v>770</v>
      </c>
      <c r="S939" s="38">
        <v>431000000</v>
      </c>
      <c r="T939" s="26">
        <v>0</v>
      </c>
    </row>
    <row r="940" spans="1:20" ht="63.75" outlineLevel="1">
      <c r="B940" s="6">
        <v>924</v>
      </c>
      <c r="C940" s="36" t="s">
        <v>714</v>
      </c>
      <c r="D940" s="43" t="s">
        <v>601</v>
      </c>
      <c r="E940" s="6" t="s">
        <v>487</v>
      </c>
      <c r="F940" s="70" t="s">
        <v>2073</v>
      </c>
      <c r="G940" s="70" t="s">
        <v>488</v>
      </c>
      <c r="H940" s="70" t="s">
        <v>2073</v>
      </c>
      <c r="I940" s="70" t="s">
        <v>917</v>
      </c>
      <c r="J940" s="70" t="s">
        <v>2074</v>
      </c>
      <c r="K940" s="70" t="s">
        <v>258</v>
      </c>
      <c r="L940" s="70" t="s">
        <v>595</v>
      </c>
      <c r="M940" s="12" t="s">
        <v>918</v>
      </c>
      <c r="N940" s="65">
        <v>1</v>
      </c>
      <c r="O940" s="57">
        <v>267857</v>
      </c>
      <c r="P940" s="62">
        <f t="shared" si="15"/>
        <v>267857</v>
      </c>
      <c r="Q940" s="6" t="s">
        <v>397</v>
      </c>
      <c r="R940" s="6" t="s">
        <v>770</v>
      </c>
      <c r="S940" s="38" t="s">
        <v>719</v>
      </c>
      <c r="T940" s="26">
        <v>100</v>
      </c>
    </row>
    <row r="941" spans="1:20" s="39" customFormat="1" ht="63.75">
      <c r="B941" s="6">
        <v>925</v>
      </c>
      <c r="C941" s="16" t="s">
        <v>714</v>
      </c>
      <c r="D941" s="6" t="s">
        <v>601</v>
      </c>
      <c r="E941" s="6" t="s">
        <v>487</v>
      </c>
      <c r="F941" s="70" t="s">
        <v>2073</v>
      </c>
      <c r="G941" s="70" t="s">
        <v>488</v>
      </c>
      <c r="H941" s="70" t="s">
        <v>2073</v>
      </c>
      <c r="I941" s="70" t="s">
        <v>917</v>
      </c>
      <c r="J941" s="70" t="s">
        <v>2074</v>
      </c>
      <c r="K941" s="70" t="s">
        <v>258</v>
      </c>
      <c r="L941" s="70" t="s">
        <v>595</v>
      </c>
      <c r="M941" s="12" t="s">
        <v>918</v>
      </c>
      <c r="N941" s="26">
        <v>1</v>
      </c>
      <c r="O941" s="57">
        <v>267857</v>
      </c>
      <c r="P941" s="62">
        <f t="shared" si="15"/>
        <v>267857</v>
      </c>
      <c r="Q941" s="6" t="s">
        <v>397</v>
      </c>
      <c r="R941" s="6" t="s">
        <v>770</v>
      </c>
      <c r="S941" s="38" t="s">
        <v>906</v>
      </c>
      <c r="T941" s="26">
        <v>0</v>
      </c>
    </row>
    <row r="942" spans="1:20" ht="63.75" outlineLevel="1">
      <c r="B942" s="6">
        <v>926</v>
      </c>
      <c r="C942" s="16" t="s">
        <v>945</v>
      </c>
      <c r="D942" s="6" t="s">
        <v>601</v>
      </c>
      <c r="E942" s="6" t="s">
        <v>487</v>
      </c>
      <c r="F942" s="70" t="s">
        <v>2073</v>
      </c>
      <c r="G942" s="70" t="s">
        <v>488</v>
      </c>
      <c r="H942" s="70" t="s">
        <v>2073</v>
      </c>
      <c r="I942" s="70" t="s">
        <v>917</v>
      </c>
      <c r="J942" s="70" t="s">
        <v>2074</v>
      </c>
      <c r="K942" s="70" t="s">
        <v>258</v>
      </c>
      <c r="L942" s="70" t="s">
        <v>595</v>
      </c>
      <c r="M942" s="12" t="s">
        <v>918</v>
      </c>
      <c r="N942" s="26">
        <v>1</v>
      </c>
      <c r="O942" s="57">
        <v>267857</v>
      </c>
      <c r="P942" s="62">
        <f t="shared" si="15"/>
        <v>267857</v>
      </c>
      <c r="Q942" s="6" t="s">
        <v>397</v>
      </c>
      <c r="R942" s="6" t="s">
        <v>770</v>
      </c>
      <c r="S942" s="38">
        <v>591000000</v>
      </c>
      <c r="T942" s="26">
        <v>0</v>
      </c>
    </row>
    <row r="943" spans="1:20" ht="63.75" outlineLevel="1">
      <c r="B943" s="6">
        <v>927</v>
      </c>
      <c r="C943" s="16" t="s">
        <v>714</v>
      </c>
      <c r="D943" s="6" t="s">
        <v>601</v>
      </c>
      <c r="E943" s="6" t="s">
        <v>487</v>
      </c>
      <c r="F943" s="70" t="s">
        <v>2073</v>
      </c>
      <c r="G943" s="70" t="s">
        <v>488</v>
      </c>
      <c r="H943" s="70" t="s">
        <v>2073</v>
      </c>
      <c r="I943" s="70" t="s">
        <v>917</v>
      </c>
      <c r="J943" s="70" t="s">
        <v>2074</v>
      </c>
      <c r="K943" s="70" t="s">
        <v>258</v>
      </c>
      <c r="L943" s="70" t="s">
        <v>595</v>
      </c>
      <c r="M943" s="12" t="s">
        <v>918</v>
      </c>
      <c r="N943" s="26">
        <v>1</v>
      </c>
      <c r="O943" s="57">
        <f>P943/N943</f>
        <v>223214</v>
      </c>
      <c r="P943" s="62">
        <f>267857-44643</f>
        <v>223214</v>
      </c>
      <c r="Q943" s="6" t="s">
        <v>519</v>
      </c>
      <c r="R943" s="6" t="s">
        <v>770</v>
      </c>
      <c r="S943" s="38" t="s">
        <v>2037</v>
      </c>
      <c r="T943" s="6">
        <v>0</v>
      </c>
    </row>
    <row r="944" spans="1:20" ht="51" outlineLevel="1">
      <c r="B944" s="6">
        <v>928</v>
      </c>
      <c r="C944" s="16" t="s">
        <v>714</v>
      </c>
      <c r="D944" s="6" t="s">
        <v>601</v>
      </c>
      <c r="E944" s="6" t="s">
        <v>493</v>
      </c>
      <c r="F944" s="70" t="s">
        <v>2043</v>
      </c>
      <c r="G944" s="70" t="s">
        <v>1138</v>
      </c>
      <c r="H944" s="70" t="s">
        <v>2043</v>
      </c>
      <c r="I944" s="70" t="s">
        <v>1138</v>
      </c>
      <c r="J944" s="70" t="s">
        <v>2044</v>
      </c>
      <c r="K944" s="70" t="s">
        <v>1139</v>
      </c>
      <c r="L944" s="70" t="s">
        <v>595</v>
      </c>
      <c r="M944" s="12" t="s">
        <v>918</v>
      </c>
      <c r="N944" s="26">
        <v>1</v>
      </c>
      <c r="O944" s="57">
        <v>546429</v>
      </c>
      <c r="P944" s="62">
        <f t="shared" si="15"/>
        <v>546429</v>
      </c>
      <c r="Q944" s="6" t="s">
        <v>397</v>
      </c>
      <c r="R944" s="6" t="s">
        <v>770</v>
      </c>
      <c r="S944" s="38" t="s">
        <v>1179</v>
      </c>
      <c r="T944" s="26">
        <v>0</v>
      </c>
    </row>
    <row r="945" spans="1:20" ht="76.5" outlineLevel="1">
      <c r="B945" s="6">
        <v>929</v>
      </c>
      <c r="C945" s="16" t="s">
        <v>714</v>
      </c>
      <c r="D945" s="6" t="s">
        <v>601</v>
      </c>
      <c r="E945" s="58" t="s">
        <v>857</v>
      </c>
      <c r="F945" s="70" t="s">
        <v>2390</v>
      </c>
      <c r="G945" s="70" t="s">
        <v>858</v>
      </c>
      <c r="H945" s="70" t="s">
        <v>1790</v>
      </c>
      <c r="I945" s="70" t="s">
        <v>859</v>
      </c>
      <c r="J945" s="70" t="s">
        <v>1791</v>
      </c>
      <c r="K945" s="70" t="s">
        <v>40</v>
      </c>
      <c r="L945" s="70" t="s">
        <v>595</v>
      </c>
      <c r="M945" s="12" t="s">
        <v>918</v>
      </c>
      <c r="N945" s="26">
        <v>1</v>
      </c>
      <c r="O945" s="57">
        <v>1160714</v>
      </c>
      <c r="P945" s="62">
        <f t="shared" si="15"/>
        <v>1160714</v>
      </c>
      <c r="Q945" s="6" t="s">
        <v>397</v>
      </c>
      <c r="R945" s="6" t="s">
        <v>770</v>
      </c>
      <c r="S945" s="38" t="s">
        <v>1179</v>
      </c>
      <c r="T945" s="26">
        <v>0</v>
      </c>
    </row>
    <row r="946" spans="1:20" ht="76.5" outlineLevel="1">
      <c r="B946" s="6">
        <v>930</v>
      </c>
      <c r="C946" s="16" t="s">
        <v>714</v>
      </c>
      <c r="D946" s="6" t="s">
        <v>601</v>
      </c>
      <c r="E946" s="58" t="s">
        <v>857</v>
      </c>
      <c r="F946" s="70" t="s">
        <v>2390</v>
      </c>
      <c r="G946" s="70" t="s">
        <v>858</v>
      </c>
      <c r="H946" s="70" t="s">
        <v>1790</v>
      </c>
      <c r="I946" s="70" t="s">
        <v>859</v>
      </c>
      <c r="J946" s="70" t="s">
        <v>1791</v>
      </c>
      <c r="K946" s="70" t="s">
        <v>40</v>
      </c>
      <c r="L946" s="70" t="s">
        <v>595</v>
      </c>
      <c r="M946" s="12" t="s">
        <v>918</v>
      </c>
      <c r="N946" s="26">
        <v>1</v>
      </c>
      <c r="O946" s="57">
        <v>1544643</v>
      </c>
      <c r="P946" s="62">
        <f t="shared" si="15"/>
        <v>1544643</v>
      </c>
      <c r="Q946" s="6" t="s">
        <v>397</v>
      </c>
      <c r="R946" s="6" t="s">
        <v>770</v>
      </c>
      <c r="S946" s="38" t="s">
        <v>1179</v>
      </c>
      <c r="T946" s="26">
        <v>0</v>
      </c>
    </row>
    <row r="947" spans="1:20" ht="51" outlineLevel="1">
      <c r="B947" s="6">
        <v>931</v>
      </c>
      <c r="C947" s="16" t="s">
        <v>714</v>
      </c>
      <c r="D947" s="6" t="s">
        <v>601</v>
      </c>
      <c r="E947" s="58" t="s">
        <v>497</v>
      </c>
      <c r="F947" s="70" t="s">
        <v>2391</v>
      </c>
      <c r="G947" s="70" t="s">
        <v>113</v>
      </c>
      <c r="H947" s="70" t="s">
        <v>1792</v>
      </c>
      <c r="I947" s="70" t="s">
        <v>113</v>
      </c>
      <c r="J947" s="70" t="s">
        <v>1792</v>
      </c>
      <c r="K947" s="70" t="s">
        <v>113</v>
      </c>
      <c r="L947" s="70" t="s">
        <v>595</v>
      </c>
      <c r="M947" s="12" t="s">
        <v>918</v>
      </c>
      <c r="N947" s="26">
        <v>1</v>
      </c>
      <c r="O947" s="57">
        <v>60714</v>
      </c>
      <c r="P947" s="62">
        <f t="shared" si="15"/>
        <v>60714</v>
      </c>
      <c r="Q947" s="6" t="s">
        <v>397</v>
      </c>
      <c r="R947" s="6" t="s">
        <v>397</v>
      </c>
      <c r="S947" s="38" t="s">
        <v>1179</v>
      </c>
      <c r="T947" s="26">
        <v>100</v>
      </c>
    </row>
    <row r="948" spans="1:20" ht="76.5" outlineLevel="1">
      <c r="B948" s="6">
        <v>932</v>
      </c>
      <c r="C948" s="36" t="s">
        <v>714</v>
      </c>
      <c r="D948" s="43" t="s">
        <v>601</v>
      </c>
      <c r="E948" s="6" t="s">
        <v>489</v>
      </c>
      <c r="F948" s="70" t="s">
        <v>490</v>
      </c>
      <c r="G948" s="70" t="s">
        <v>491</v>
      </c>
      <c r="H948" s="70" t="s">
        <v>2069</v>
      </c>
      <c r="I948" s="70" t="s">
        <v>492</v>
      </c>
      <c r="J948" s="70" t="s">
        <v>2070</v>
      </c>
      <c r="K948" s="70" t="s">
        <v>40</v>
      </c>
      <c r="L948" s="70" t="s">
        <v>595</v>
      </c>
      <c r="M948" s="12" t="s">
        <v>918</v>
      </c>
      <c r="N948" s="26">
        <v>1</v>
      </c>
      <c r="O948" s="57">
        <v>550836</v>
      </c>
      <c r="P948" s="62">
        <f t="shared" si="15"/>
        <v>550836</v>
      </c>
      <c r="Q948" s="6" t="s">
        <v>397</v>
      </c>
      <c r="R948" s="6" t="s">
        <v>770</v>
      </c>
      <c r="S948" s="38" t="s">
        <v>2038</v>
      </c>
      <c r="T948" s="26">
        <v>0</v>
      </c>
    </row>
    <row r="949" spans="1:20" ht="51" outlineLevel="1">
      <c r="B949" s="6">
        <v>933</v>
      </c>
      <c r="C949" s="36" t="s">
        <v>714</v>
      </c>
      <c r="D949" s="43" t="s">
        <v>601</v>
      </c>
      <c r="E949" s="6" t="s">
        <v>493</v>
      </c>
      <c r="F949" s="70" t="s">
        <v>2043</v>
      </c>
      <c r="G949" s="70" t="s">
        <v>1138</v>
      </c>
      <c r="H949" s="70" t="s">
        <v>2043</v>
      </c>
      <c r="I949" s="70" t="s">
        <v>1138</v>
      </c>
      <c r="J949" s="70" t="s">
        <v>2044</v>
      </c>
      <c r="K949" s="70" t="s">
        <v>1139</v>
      </c>
      <c r="L949" s="70" t="s">
        <v>595</v>
      </c>
      <c r="M949" s="12" t="s">
        <v>918</v>
      </c>
      <c r="N949" s="26">
        <v>1</v>
      </c>
      <c r="O949" s="57">
        <v>357686</v>
      </c>
      <c r="P949" s="62">
        <f t="shared" si="15"/>
        <v>357686</v>
      </c>
      <c r="Q949" s="6" t="s">
        <v>397</v>
      </c>
      <c r="R949" s="6" t="s">
        <v>770</v>
      </c>
      <c r="S949" s="38" t="s">
        <v>2038</v>
      </c>
      <c r="T949" s="26">
        <v>0</v>
      </c>
    </row>
    <row r="950" spans="1:20" ht="51" outlineLevel="1">
      <c r="B950" s="6">
        <v>934</v>
      </c>
      <c r="C950" s="36" t="s">
        <v>714</v>
      </c>
      <c r="D950" s="43" t="s">
        <v>601</v>
      </c>
      <c r="E950" s="12" t="s">
        <v>496</v>
      </c>
      <c r="F950" s="70" t="s">
        <v>2084</v>
      </c>
      <c r="G950" s="70" t="s">
        <v>111</v>
      </c>
      <c r="H950" s="70" t="s">
        <v>2084</v>
      </c>
      <c r="I950" s="70" t="s">
        <v>111</v>
      </c>
      <c r="J950" s="70" t="s">
        <v>2084</v>
      </c>
      <c r="K950" s="70" t="s">
        <v>111</v>
      </c>
      <c r="L950" s="70" t="s">
        <v>595</v>
      </c>
      <c r="M950" s="12" t="s">
        <v>918</v>
      </c>
      <c r="N950" s="26">
        <v>1</v>
      </c>
      <c r="O950" s="57">
        <v>245565</v>
      </c>
      <c r="P950" s="62">
        <f t="shared" si="15"/>
        <v>245565</v>
      </c>
      <c r="Q950" s="6" t="s">
        <v>397</v>
      </c>
      <c r="R950" s="6" t="s">
        <v>770</v>
      </c>
      <c r="S950" s="38" t="s">
        <v>2038</v>
      </c>
      <c r="T950" s="26">
        <v>0</v>
      </c>
    </row>
    <row r="951" spans="1:20" ht="51" outlineLevel="1">
      <c r="B951" s="6">
        <v>935</v>
      </c>
      <c r="C951" s="36" t="s">
        <v>714</v>
      </c>
      <c r="D951" s="43" t="s">
        <v>601</v>
      </c>
      <c r="E951" s="58" t="s">
        <v>497</v>
      </c>
      <c r="F951" s="70" t="s">
        <v>1792</v>
      </c>
      <c r="G951" s="70" t="s">
        <v>113</v>
      </c>
      <c r="H951" s="70" t="s">
        <v>1792</v>
      </c>
      <c r="I951" s="70" t="s">
        <v>113</v>
      </c>
      <c r="J951" s="70" t="s">
        <v>1792</v>
      </c>
      <c r="K951" s="70" t="s">
        <v>113</v>
      </c>
      <c r="L951" s="70" t="s">
        <v>595</v>
      </c>
      <c r="M951" s="12" t="s">
        <v>918</v>
      </c>
      <c r="N951" s="26">
        <v>1</v>
      </c>
      <c r="O951" s="57">
        <f>P951/N951</f>
        <v>0</v>
      </c>
      <c r="P951" s="62">
        <f>14980-14980</f>
        <v>0</v>
      </c>
      <c r="Q951" s="6" t="s">
        <v>397</v>
      </c>
      <c r="R951" s="6" t="s">
        <v>770</v>
      </c>
      <c r="S951" s="38" t="s">
        <v>2038</v>
      </c>
      <c r="T951" s="26">
        <v>100</v>
      </c>
    </row>
    <row r="952" spans="1:20" ht="76.5" outlineLevel="1">
      <c r="B952" s="6">
        <v>936</v>
      </c>
      <c r="C952" s="16" t="s">
        <v>714</v>
      </c>
      <c r="D952" s="6" t="s">
        <v>601</v>
      </c>
      <c r="E952" s="6" t="s">
        <v>489</v>
      </c>
      <c r="F952" s="70" t="s">
        <v>490</v>
      </c>
      <c r="G952" s="70" t="s">
        <v>491</v>
      </c>
      <c r="H952" s="70" t="s">
        <v>2069</v>
      </c>
      <c r="I952" s="70" t="s">
        <v>492</v>
      </c>
      <c r="J952" s="70" t="s">
        <v>2070</v>
      </c>
      <c r="K952" s="70" t="s">
        <v>40</v>
      </c>
      <c r="L952" s="70" t="s">
        <v>595</v>
      </c>
      <c r="M952" s="12" t="s">
        <v>918</v>
      </c>
      <c r="N952" s="26">
        <v>1</v>
      </c>
      <c r="O952" s="57">
        <v>867857</v>
      </c>
      <c r="P952" s="62">
        <f t="shared" si="15"/>
        <v>867857</v>
      </c>
      <c r="Q952" s="6" t="s">
        <v>397</v>
      </c>
      <c r="R952" s="6" t="s">
        <v>770</v>
      </c>
      <c r="S952" s="38" t="s">
        <v>1025</v>
      </c>
      <c r="T952" s="6">
        <v>0</v>
      </c>
    </row>
    <row r="953" spans="1:20" ht="51" outlineLevel="1">
      <c r="B953" s="6">
        <v>937</v>
      </c>
      <c r="C953" s="16" t="s">
        <v>714</v>
      </c>
      <c r="D953" s="6" t="s">
        <v>601</v>
      </c>
      <c r="E953" s="12" t="s">
        <v>1044</v>
      </c>
      <c r="F953" s="70" t="s">
        <v>2043</v>
      </c>
      <c r="G953" s="70" t="s">
        <v>1138</v>
      </c>
      <c r="H953" s="70" t="s">
        <v>2043</v>
      </c>
      <c r="I953" s="70" t="s">
        <v>1138</v>
      </c>
      <c r="J953" s="70" t="s">
        <v>2044</v>
      </c>
      <c r="K953" s="70" t="s">
        <v>1139</v>
      </c>
      <c r="L953" s="70" t="s">
        <v>595</v>
      </c>
      <c r="M953" s="12" t="s">
        <v>918</v>
      </c>
      <c r="N953" s="26">
        <v>1</v>
      </c>
      <c r="O953" s="57">
        <v>216000</v>
      </c>
      <c r="P953" s="62">
        <f t="shared" si="15"/>
        <v>216000</v>
      </c>
      <c r="Q953" s="6" t="s">
        <v>397</v>
      </c>
      <c r="R953" s="6" t="s">
        <v>770</v>
      </c>
      <c r="S953" s="38" t="s">
        <v>1025</v>
      </c>
      <c r="T953" s="6">
        <v>0</v>
      </c>
    </row>
    <row r="954" spans="1:20" ht="51" outlineLevel="1">
      <c r="B954" s="6">
        <v>938</v>
      </c>
      <c r="C954" s="16" t="s">
        <v>714</v>
      </c>
      <c r="D954" s="6" t="s">
        <v>601</v>
      </c>
      <c r="E954" s="12" t="s">
        <v>496</v>
      </c>
      <c r="F954" s="70" t="s">
        <v>2084</v>
      </c>
      <c r="G954" s="70" t="s">
        <v>111</v>
      </c>
      <c r="H954" s="70" t="s">
        <v>2084</v>
      </c>
      <c r="I954" s="70" t="s">
        <v>111</v>
      </c>
      <c r="J954" s="70" t="s">
        <v>2084</v>
      </c>
      <c r="K954" s="70" t="s">
        <v>111</v>
      </c>
      <c r="L954" s="70" t="s">
        <v>595</v>
      </c>
      <c r="M954" s="12" t="s">
        <v>918</v>
      </c>
      <c r="N954" s="26">
        <v>1</v>
      </c>
      <c r="O954" s="57">
        <v>204000</v>
      </c>
      <c r="P954" s="62">
        <f t="shared" si="15"/>
        <v>204000</v>
      </c>
      <c r="Q954" s="6" t="s">
        <v>397</v>
      </c>
      <c r="R954" s="6" t="s">
        <v>770</v>
      </c>
      <c r="S954" s="38" t="s">
        <v>1025</v>
      </c>
      <c r="T954" s="6">
        <v>0</v>
      </c>
    </row>
    <row r="955" spans="1:20" ht="51" outlineLevel="1">
      <c r="B955" s="6">
        <v>939</v>
      </c>
      <c r="C955" s="16" t="s">
        <v>714</v>
      </c>
      <c r="D955" s="6" t="s">
        <v>601</v>
      </c>
      <c r="E955" s="58" t="s">
        <v>497</v>
      </c>
      <c r="F955" s="70" t="s">
        <v>1792</v>
      </c>
      <c r="G955" s="70" t="s">
        <v>113</v>
      </c>
      <c r="H955" s="70" t="s">
        <v>1792</v>
      </c>
      <c r="I955" s="70" t="s">
        <v>113</v>
      </c>
      <c r="J955" s="70" t="s">
        <v>1792</v>
      </c>
      <c r="K955" s="70" t="s">
        <v>113</v>
      </c>
      <c r="L955" s="70" t="s">
        <v>595</v>
      </c>
      <c r="M955" s="12" t="s">
        <v>918</v>
      </c>
      <c r="N955" s="26">
        <v>1</v>
      </c>
      <c r="O955" s="57">
        <v>5357</v>
      </c>
      <c r="P955" s="62">
        <f t="shared" si="15"/>
        <v>5357</v>
      </c>
      <c r="Q955" s="6" t="s">
        <v>505</v>
      </c>
      <c r="R955" s="6" t="s">
        <v>505</v>
      </c>
      <c r="S955" s="38" t="s">
        <v>1025</v>
      </c>
      <c r="T955" s="6">
        <v>100</v>
      </c>
    </row>
    <row r="956" spans="1:20" ht="76.5" outlineLevel="1">
      <c r="B956" s="6">
        <v>940</v>
      </c>
      <c r="C956" s="16" t="s">
        <v>714</v>
      </c>
      <c r="D956" s="6" t="s">
        <v>601</v>
      </c>
      <c r="E956" s="6" t="s">
        <v>489</v>
      </c>
      <c r="F956" s="70" t="s">
        <v>490</v>
      </c>
      <c r="G956" s="70" t="s">
        <v>491</v>
      </c>
      <c r="H956" s="70" t="s">
        <v>2069</v>
      </c>
      <c r="I956" s="70" t="s">
        <v>492</v>
      </c>
      <c r="J956" s="70" t="s">
        <v>2070</v>
      </c>
      <c r="K956" s="70" t="s">
        <v>40</v>
      </c>
      <c r="L956" s="70" t="s">
        <v>595</v>
      </c>
      <c r="M956" s="12" t="s">
        <v>918</v>
      </c>
      <c r="N956" s="26">
        <v>1</v>
      </c>
      <c r="O956" s="57">
        <v>660000</v>
      </c>
      <c r="P956" s="62">
        <f t="shared" si="15"/>
        <v>660000</v>
      </c>
      <c r="Q956" s="6" t="s">
        <v>397</v>
      </c>
      <c r="R956" s="6" t="s">
        <v>770</v>
      </c>
      <c r="S956" s="38" t="s">
        <v>793</v>
      </c>
      <c r="T956" s="6">
        <v>0</v>
      </c>
    </row>
    <row r="957" spans="1:20" ht="51" outlineLevel="1">
      <c r="B957" s="6">
        <v>941</v>
      </c>
      <c r="C957" s="16" t="s">
        <v>714</v>
      </c>
      <c r="D957" s="6" t="s">
        <v>601</v>
      </c>
      <c r="E957" s="6" t="s">
        <v>493</v>
      </c>
      <c r="F957" s="70" t="s">
        <v>2043</v>
      </c>
      <c r="G957" s="70" t="s">
        <v>1138</v>
      </c>
      <c r="H957" s="70" t="s">
        <v>2043</v>
      </c>
      <c r="I957" s="70" t="s">
        <v>1138</v>
      </c>
      <c r="J957" s="70" t="s">
        <v>2044</v>
      </c>
      <c r="K957" s="70" t="s">
        <v>1139</v>
      </c>
      <c r="L957" s="70" t="s">
        <v>595</v>
      </c>
      <c r="M957" s="12" t="s">
        <v>918</v>
      </c>
      <c r="N957" s="26">
        <v>1</v>
      </c>
      <c r="O957" s="57">
        <v>192857</v>
      </c>
      <c r="P957" s="62">
        <f t="shared" si="15"/>
        <v>192857</v>
      </c>
      <c r="Q957" s="6" t="s">
        <v>397</v>
      </c>
      <c r="R957" s="6" t="s">
        <v>770</v>
      </c>
      <c r="S957" s="38" t="s">
        <v>793</v>
      </c>
      <c r="T957" s="6">
        <v>0</v>
      </c>
    </row>
    <row r="958" spans="1:20" ht="51" outlineLevel="1">
      <c r="B958" s="6">
        <v>942</v>
      </c>
      <c r="C958" s="16" t="s">
        <v>714</v>
      </c>
      <c r="D958" s="6" t="s">
        <v>601</v>
      </c>
      <c r="E958" s="12" t="s">
        <v>496</v>
      </c>
      <c r="F958" s="70" t="s">
        <v>2084</v>
      </c>
      <c r="G958" s="70" t="s">
        <v>111</v>
      </c>
      <c r="H958" s="70" t="s">
        <v>2084</v>
      </c>
      <c r="I958" s="70" t="s">
        <v>111</v>
      </c>
      <c r="J958" s="70" t="s">
        <v>2084</v>
      </c>
      <c r="K958" s="70" t="s">
        <v>111</v>
      </c>
      <c r="L958" s="70" t="s">
        <v>595</v>
      </c>
      <c r="M958" s="12" t="s">
        <v>918</v>
      </c>
      <c r="N958" s="26">
        <v>1</v>
      </c>
      <c r="O958" s="57">
        <f>P958/N958</f>
        <v>91177</v>
      </c>
      <c r="P958" s="62">
        <f>149464-58287</f>
        <v>91177</v>
      </c>
      <c r="Q958" s="6" t="s">
        <v>397</v>
      </c>
      <c r="R958" s="6" t="s">
        <v>770</v>
      </c>
      <c r="S958" s="38" t="s">
        <v>793</v>
      </c>
      <c r="T958" s="6">
        <v>0</v>
      </c>
    </row>
    <row r="959" spans="1:20" ht="51" outlineLevel="1">
      <c r="B959" s="6">
        <v>943</v>
      </c>
      <c r="C959" s="16" t="s">
        <v>714</v>
      </c>
      <c r="D959" s="6" t="s">
        <v>601</v>
      </c>
      <c r="E959" s="58" t="s">
        <v>497</v>
      </c>
      <c r="F959" s="70" t="s">
        <v>1792</v>
      </c>
      <c r="G959" s="70" t="s">
        <v>113</v>
      </c>
      <c r="H959" s="70" t="s">
        <v>1792</v>
      </c>
      <c r="I959" s="70" t="s">
        <v>113</v>
      </c>
      <c r="J959" s="70" t="s">
        <v>1792</v>
      </c>
      <c r="K959" s="70" t="s">
        <v>113</v>
      </c>
      <c r="L959" s="70" t="s">
        <v>595</v>
      </c>
      <c r="M959" s="12" t="s">
        <v>918</v>
      </c>
      <c r="N959" s="26">
        <v>1</v>
      </c>
      <c r="O959" s="57">
        <v>10714</v>
      </c>
      <c r="P959" s="62">
        <f t="shared" si="15"/>
        <v>10714</v>
      </c>
      <c r="Q959" s="6" t="s">
        <v>505</v>
      </c>
      <c r="R959" s="6" t="s">
        <v>770</v>
      </c>
      <c r="S959" s="38" t="s">
        <v>793</v>
      </c>
      <c r="T959" s="6">
        <v>0</v>
      </c>
    </row>
    <row r="960" spans="1:20" ht="76.5" outlineLevel="1">
      <c r="A960" s="61"/>
      <c r="B960" s="6">
        <v>944</v>
      </c>
      <c r="C960" s="16" t="s">
        <v>714</v>
      </c>
      <c r="D960" s="6" t="s">
        <v>601</v>
      </c>
      <c r="E960" s="6" t="s">
        <v>489</v>
      </c>
      <c r="F960" s="70" t="s">
        <v>490</v>
      </c>
      <c r="G960" s="70" t="s">
        <v>491</v>
      </c>
      <c r="H960" s="70" t="s">
        <v>2069</v>
      </c>
      <c r="I960" s="70" t="s">
        <v>492</v>
      </c>
      <c r="J960" s="70" t="s">
        <v>2070</v>
      </c>
      <c r="K960" s="70" t="s">
        <v>40</v>
      </c>
      <c r="L960" s="70" t="s">
        <v>595</v>
      </c>
      <c r="M960" s="12" t="s">
        <v>918</v>
      </c>
      <c r="N960" s="26">
        <v>1</v>
      </c>
      <c r="O960" s="57">
        <v>357143</v>
      </c>
      <c r="P960" s="62">
        <f t="shared" si="15"/>
        <v>357143</v>
      </c>
      <c r="Q960" s="6" t="s">
        <v>397</v>
      </c>
      <c r="R960" s="6" t="s">
        <v>770</v>
      </c>
      <c r="S960" s="38" t="s">
        <v>2035</v>
      </c>
      <c r="T960" s="26">
        <v>30</v>
      </c>
    </row>
    <row r="961" spans="1:20" ht="51" outlineLevel="1">
      <c r="A961" s="61"/>
      <c r="B961" s="6">
        <v>945</v>
      </c>
      <c r="C961" s="16" t="s">
        <v>714</v>
      </c>
      <c r="D961" s="6" t="s">
        <v>601</v>
      </c>
      <c r="E961" s="6" t="s">
        <v>493</v>
      </c>
      <c r="F961" s="70" t="s">
        <v>2043</v>
      </c>
      <c r="G961" s="70" t="s">
        <v>1138</v>
      </c>
      <c r="H961" s="70" t="s">
        <v>2043</v>
      </c>
      <c r="I961" s="70" t="s">
        <v>1138</v>
      </c>
      <c r="J961" s="70" t="s">
        <v>2044</v>
      </c>
      <c r="K961" s="70" t="s">
        <v>1139</v>
      </c>
      <c r="L961" s="70" t="s">
        <v>595</v>
      </c>
      <c r="M961" s="12" t="s">
        <v>918</v>
      </c>
      <c r="N961" s="26">
        <v>1</v>
      </c>
      <c r="O961" s="57">
        <v>214286</v>
      </c>
      <c r="P961" s="62">
        <f t="shared" si="15"/>
        <v>214286</v>
      </c>
      <c r="Q961" s="6" t="s">
        <v>397</v>
      </c>
      <c r="R961" s="6" t="s">
        <v>770</v>
      </c>
      <c r="S961" s="38" t="s">
        <v>2035</v>
      </c>
      <c r="T961" s="26">
        <v>0</v>
      </c>
    </row>
    <row r="962" spans="1:20" ht="76.5" outlineLevel="1">
      <c r="B962" s="6">
        <v>946</v>
      </c>
      <c r="C962" s="16" t="s">
        <v>714</v>
      </c>
      <c r="D962" s="6" t="s">
        <v>601</v>
      </c>
      <c r="E962" s="6" t="s">
        <v>489</v>
      </c>
      <c r="F962" s="70" t="s">
        <v>490</v>
      </c>
      <c r="G962" s="70" t="s">
        <v>491</v>
      </c>
      <c r="H962" s="70" t="s">
        <v>2069</v>
      </c>
      <c r="I962" s="70" t="s">
        <v>492</v>
      </c>
      <c r="J962" s="70" t="s">
        <v>2070</v>
      </c>
      <c r="K962" s="70" t="s">
        <v>40</v>
      </c>
      <c r="L962" s="70" t="s">
        <v>595</v>
      </c>
      <c r="M962" s="12" t="s">
        <v>918</v>
      </c>
      <c r="N962" s="26">
        <v>1</v>
      </c>
      <c r="O962" s="57">
        <v>1316250</v>
      </c>
      <c r="P962" s="62">
        <f t="shared" si="15"/>
        <v>1316250</v>
      </c>
      <c r="Q962" s="6" t="s">
        <v>395</v>
      </c>
      <c r="R962" s="6" t="s">
        <v>770</v>
      </c>
      <c r="S962" s="38" t="s">
        <v>2030</v>
      </c>
      <c r="T962" s="26">
        <v>0</v>
      </c>
    </row>
    <row r="963" spans="1:20" ht="51" outlineLevel="1">
      <c r="B963" s="6">
        <v>947</v>
      </c>
      <c r="C963" s="16" t="s">
        <v>714</v>
      </c>
      <c r="D963" s="6" t="s">
        <v>601</v>
      </c>
      <c r="E963" s="6" t="s">
        <v>493</v>
      </c>
      <c r="F963" s="70" t="s">
        <v>2043</v>
      </c>
      <c r="G963" s="70" t="s">
        <v>1138</v>
      </c>
      <c r="H963" s="70" t="s">
        <v>2043</v>
      </c>
      <c r="I963" s="70" t="s">
        <v>1138</v>
      </c>
      <c r="J963" s="70" t="s">
        <v>2044</v>
      </c>
      <c r="K963" s="70" t="s">
        <v>1139</v>
      </c>
      <c r="L963" s="70" t="s">
        <v>595</v>
      </c>
      <c r="M963" s="12" t="s">
        <v>918</v>
      </c>
      <c r="N963" s="26">
        <v>1</v>
      </c>
      <c r="O963" s="57">
        <v>380714</v>
      </c>
      <c r="P963" s="62">
        <f t="shared" si="15"/>
        <v>380714</v>
      </c>
      <c r="Q963" s="6" t="s">
        <v>395</v>
      </c>
      <c r="R963" s="6" t="s">
        <v>770</v>
      </c>
      <c r="S963" s="38" t="s">
        <v>2030</v>
      </c>
      <c r="T963" s="26">
        <v>0</v>
      </c>
    </row>
    <row r="964" spans="1:20" ht="51" outlineLevel="1">
      <c r="B964" s="6">
        <v>948</v>
      </c>
      <c r="C964" s="16" t="s">
        <v>714</v>
      </c>
      <c r="D964" s="6" t="s">
        <v>601</v>
      </c>
      <c r="E964" s="12" t="s">
        <v>496</v>
      </c>
      <c r="F964" s="70" t="s">
        <v>2084</v>
      </c>
      <c r="G964" s="70" t="s">
        <v>111</v>
      </c>
      <c r="H964" s="70" t="s">
        <v>2084</v>
      </c>
      <c r="I964" s="70" t="s">
        <v>111</v>
      </c>
      <c r="J964" s="70" t="s">
        <v>2084</v>
      </c>
      <c r="K964" s="70" t="s">
        <v>111</v>
      </c>
      <c r="L964" s="70" t="s">
        <v>595</v>
      </c>
      <c r="M964" s="12" t="s">
        <v>918</v>
      </c>
      <c r="N964" s="26">
        <v>1</v>
      </c>
      <c r="O964" s="57">
        <v>391071</v>
      </c>
      <c r="P964" s="62">
        <f t="shared" si="15"/>
        <v>391071</v>
      </c>
      <c r="Q964" s="6" t="s">
        <v>397</v>
      </c>
      <c r="R964" s="6" t="s">
        <v>770</v>
      </c>
      <c r="S964" s="38" t="s">
        <v>2030</v>
      </c>
      <c r="T964" s="26">
        <v>0</v>
      </c>
    </row>
    <row r="965" spans="1:20" ht="51" outlineLevel="1">
      <c r="B965" s="6">
        <v>949</v>
      </c>
      <c r="C965" s="16" t="s">
        <v>714</v>
      </c>
      <c r="D965" s="6" t="s">
        <v>601</v>
      </c>
      <c r="E965" s="58" t="s">
        <v>497</v>
      </c>
      <c r="F965" s="70" t="s">
        <v>1792</v>
      </c>
      <c r="G965" s="70" t="s">
        <v>113</v>
      </c>
      <c r="H965" s="70" t="s">
        <v>1792</v>
      </c>
      <c r="I965" s="70" t="s">
        <v>113</v>
      </c>
      <c r="J965" s="70" t="s">
        <v>1792</v>
      </c>
      <c r="K965" s="70" t="s">
        <v>113</v>
      </c>
      <c r="L965" s="70" t="s">
        <v>595</v>
      </c>
      <c r="M965" s="12" t="s">
        <v>918</v>
      </c>
      <c r="N965" s="26">
        <v>1</v>
      </c>
      <c r="O965" s="57">
        <f>P965/N965</f>
        <v>0</v>
      </c>
      <c r="P965" s="62">
        <f>14286-14286</f>
        <v>0</v>
      </c>
      <c r="Q965" s="6" t="s">
        <v>395</v>
      </c>
      <c r="R965" s="6" t="s">
        <v>395</v>
      </c>
      <c r="S965" s="38" t="s">
        <v>2030</v>
      </c>
      <c r="T965" s="26">
        <v>100</v>
      </c>
    </row>
    <row r="966" spans="1:20" s="14" customFormat="1" ht="76.5">
      <c r="A966" s="17"/>
      <c r="B966" s="6">
        <v>950</v>
      </c>
      <c r="C966" s="16" t="s">
        <v>714</v>
      </c>
      <c r="D966" s="6" t="s">
        <v>601</v>
      </c>
      <c r="E966" s="6" t="s">
        <v>489</v>
      </c>
      <c r="F966" s="70" t="s">
        <v>490</v>
      </c>
      <c r="G966" s="70" t="s">
        <v>491</v>
      </c>
      <c r="H966" s="70" t="s">
        <v>2069</v>
      </c>
      <c r="I966" s="70" t="s">
        <v>492</v>
      </c>
      <c r="J966" s="70" t="s">
        <v>2070</v>
      </c>
      <c r="K966" s="70" t="s">
        <v>40</v>
      </c>
      <c r="L966" s="70" t="s">
        <v>595</v>
      </c>
      <c r="M966" s="12" t="s">
        <v>918</v>
      </c>
      <c r="N966" s="26">
        <v>1</v>
      </c>
      <c r="O966" s="57">
        <v>580357</v>
      </c>
      <c r="P966" s="62">
        <f t="shared" si="15"/>
        <v>580357</v>
      </c>
      <c r="Q966" s="6" t="s">
        <v>397</v>
      </c>
      <c r="R966" s="6" t="s">
        <v>770</v>
      </c>
      <c r="S966" s="38" t="s">
        <v>2031</v>
      </c>
      <c r="T966" s="26">
        <v>80</v>
      </c>
    </row>
    <row r="967" spans="1:20" s="14" customFormat="1" ht="51">
      <c r="A967" s="17"/>
      <c r="B967" s="6">
        <v>951</v>
      </c>
      <c r="C967" s="16" t="s">
        <v>714</v>
      </c>
      <c r="D967" s="6" t="s">
        <v>601</v>
      </c>
      <c r="E967" s="6" t="s">
        <v>493</v>
      </c>
      <c r="F967" s="70" t="s">
        <v>2043</v>
      </c>
      <c r="G967" s="70" t="s">
        <v>1138</v>
      </c>
      <c r="H967" s="70" t="s">
        <v>2043</v>
      </c>
      <c r="I967" s="70" t="s">
        <v>1138</v>
      </c>
      <c r="J967" s="70" t="s">
        <v>2044</v>
      </c>
      <c r="K967" s="70" t="s">
        <v>1139</v>
      </c>
      <c r="L967" s="70" t="s">
        <v>595</v>
      </c>
      <c r="M967" s="12" t="s">
        <v>918</v>
      </c>
      <c r="N967" s="26">
        <v>1</v>
      </c>
      <c r="O967" s="57">
        <v>196414</v>
      </c>
      <c r="P967" s="62">
        <f t="shared" si="15"/>
        <v>196414</v>
      </c>
      <c r="Q967" s="6" t="s">
        <v>397</v>
      </c>
      <c r="R967" s="6" t="s">
        <v>770</v>
      </c>
      <c r="S967" s="38" t="s">
        <v>2031</v>
      </c>
      <c r="T967" s="26">
        <v>100</v>
      </c>
    </row>
    <row r="968" spans="1:20" s="14" customFormat="1" ht="51">
      <c r="A968" s="17"/>
      <c r="B968" s="6">
        <v>952</v>
      </c>
      <c r="C968" s="16" t="s">
        <v>714</v>
      </c>
      <c r="D968" s="6" t="s">
        <v>601</v>
      </c>
      <c r="E968" s="58" t="s">
        <v>497</v>
      </c>
      <c r="F968" s="70" t="s">
        <v>1792</v>
      </c>
      <c r="G968" s="70" t="s">
        <v>113</v>
      </c>
      <c r="H968" s="70" t="s">
        <v>1792</v>
      </c>
      <c r="I968" s="70" t="s">
        <v>113</v>
      </c>
      <c r="J968" s="70" t="s">
        <v>1792</v>
      </c>
      <c r="K968" s="70" t="s">
        <v>113</v>
      </c>
      <c r="L968" s="70" t="s">
        <v>595</v>
      </c>
      <c r="M968" s="12" t="s">
        <v>918</v>
      </c>
      <c r="N968" s="26">
        <v>1</v>
      </c>
      <c r="O968" s="57">
        <v>8929</v>
      </c>
      <c r="P968" s="62">
        <f t="shared" si="15"/>
        <v>8929</v>
      </c>
      <c r="Q968" s="6" t="s">
        <v>592</v>
      </c>
      <c r="R968" s="16" t="s">
        <v>510</v>
      </c>
      <c r="S968" s="38" t="s">
        <v>2031</v>
      </c>
      <c r="T968" s="26">
        <v>100</v>
      </c>
    </row>
    <row r="969" spans="1:20" ht="76.5" outlineLevel="1">
      <c r="B969" s="6">
        <v>953</v>
      </c>
      <c r="C969" s="16" t="s">
        <v>714</v>
      </c>
      <c r="D969" s="6" t="s">
        <v>601</v>
      </c>
      <c r="E969" s="6" t="s">
        <v>489</v>
      </c>
      <c r="F969" s="70" t="s">
        <v>490</v>
      </c>
      <c r="G969" s="70" t="s">
        <v>491</v>
      </c>
      <c r="H969" s="70" t="s">
        <v>2069</v>
      </c>
      <c r="I969" s="70" t="s">
        <v>492</v>
      </c>
      <c r="J969" s="70" t="s">
        <v>2070</v>
      </c>
      <c r="K969" s="70" t="s">
        <v>40</v>
      </c>
      <c r="L969" s="70" t="s">
        <v>595</v>
      </c>
      <c r="M969" s="12" t="s">
        <v>918</v>
      </c>
      <c r="N969" s="26">
        <v>1</v>
      </c>
      <c r="O969" s="57">
        <v>836393</v>
      </c>
      <c r="P969" s="62">
        <f t="shared" si="15"/>
        <v>836393</v>
      </c>
      <c r="Q969" s="6" t="s">
        <v>397</v>
      </c>
      <c r="R969" s="6" t="s">
        <v>770</v>
      </c>
      <c r="S969" s="38" t="s">
        <v>637</v>
      </c>
      <c r="T969" s="26">
        <v>0</v>
      </c>
    </row>
    <row r="970" spans="1:20" ht="51" outlineLevel="1">
      <c r="B970" s="6">
        <v>954</v>
      </c>
      <c r="C970" s="16" t="s">
        <v>714</v>
      </c>
      <c r="D970" s="6" t="s">
        <v>601</v>
      </c>
      <c r="E970" s="6" t="s">
        <v>493</v>
      </c>
      <c r="F970" s="70" t="s">
        <v>2043</v>
      </c>
      <c r="G970" s="70" t="s">
        <v>1138</v>
      </c>
      <c r="H970" s="70" t="s">
        <v>2043</v>
      </c>
      <c r="I970" s="70" t="s">
        <v>1138</v>
      </c>
      <c r="J970" s="70" t="s">
        <v>2044</v>
      </c>
      <c r="K970" s="70" t="s">
        <v>1139</v>
      </c>
      <c r="L970" s="70" t="s">
        <v>595</v>
      </c>
      <c r="M970" s="12" t="s">
        <v>918</v>
      </c>
      <c r="N970" s="26">
        <v>1</v>
      </c>
      <c r="O970" s="57">
        <v>107143</v>
      </c>
      <c r="P970" s="62">
        <f t="shared" si="15"/>
        <v>107143</v>
      </c>
      <c r="Q970" s="6" t="s">
        <v>397</v>
      </c>
      <c r="R970" s="6" t="s">
        <v>770</v>
      </c>
      <c r="S970" s="38" t="s">
        <v>637</v>
      </c>
      <c r="T970" s="26">
        <v>0</v>
      </c>
    </row>
    <row r="971" spans="1:20" ht="51" outlineLevel="1">
      <c r="B971" s="6">
        <v>955</v>
      </c>
      <c r="C971" s="16" t="s">
        <v>714</v>
      </c>
      <c r="D971" s="6" t="s">
        <v>601</v>
      </c>
      <c r="E971" s="12" t="s">
        <v>496</v>
      </c>
      <c r="F971" s="70" t="s">
        <v>2084</v>
      </c>
      <c r="G971" s="70" t="s">
        <v>111</v>
      </c>
      <c r="H971" s="70" t="s">
        <v>2084</v>
      </c>
      <c r="I971" s="70" t="s">
        <v>111</v>
      </c>
      <c r="J971" s="70" t="s">
        <v>2084</v>
      </c>
      <c r="K971" s="70" t="s">
        <v>111</v>
      </c>
      <c r="L971" s="70" t="s">
        <v>595</v>
      </c>
      <c r="M971" s="12" t="s">
        <v>918</v>
      </c>
      <c r="N971" s="26">
        <v>1</v>
      </c>
      <c r="O971" s="57">
        <v>107143</v>
      </c>
      <c r="P971" s="62">
        <f t="shared" si="15"/>
        <v>107143</v>
      </c>
      <c r="Q971" s="6" t="s">
        <v>397</v>
      </c>
      <c r="R971" s="6" t="s">
        <v>770</v>
      </c>
      <c r="S971" s="38" t="s">
        <v>637</v>
      </c>
      <c r="T971" s="26">
        <v>0</v>
      </c>
    </row>
    <row r="972" spans="1:20" ht="76.5" outlineLevel="1">
      <c r="B972" s="6">
        <v>956</v>
      </c>
      <c r="C972" s="16" t="s">
        <v>714</v>
      </c>
      <c r="D972" s="6" t="s">
        <v>601</v>
      </c>
      <c r="E972" s="6" t="s">
        <v>489</v>
      </c>
      <c r="F972" s="70" t="s">
        <v>490</v>
      </c>
      <c r="G972" s="70" t="s">
        <v>491</v>
      </c>
      <c r="H972" s="70" t="s">
        <v>2069</v>
      </c>
      <c r="I972" s="70" t="s">
        <v>492</v>
      </c>
      <c r="J972" s="70" t="s">
        <v>2070</v>
      </c>
      <c r="K972" s="70" t="s">
        <v>40</v>
      </c>
      <c r="L972" s="70" t="s">
        <v>595</v>
      </c>
      <c r="M972" s="12" t="s">
        <v>918</v>
      </c>
      <c r="N972" s="26">
        <v>1</v>
      </c>
      <c r="O972" s="57">
        <v>187500</v>
      </c>
      <c r="P972" s="62">
        <f t="shared" si="15"/>
        <v>187500</v>
      </c>
      <c r="Q972" s="6" t="s">
        <v>397</v>
      </c>
      <c r="R972" s="6" t="s">
        <v>770</v>
      </c>
      <c r="S972" s="38">
        <v>311000000</v>
      </c>
      <c r="T972" s="15">
        <v>0</v>
      </c>
    </row>
    <row r="973" spans="1:20" ht="51" outlineLevel="1">
      <c r="B973" s="6">
        <v>957</v>
      </c>
      <c r="C973" s="16" t="s">
        <v>714</v>
      </c>
      <c r="D973" s="6" t="s">
        <v>601</v>
      </c>
      <c r="E973" s="12" t="s">
        <v>493</v>
      </c>
      <c r="F973" s="70" t="s">
        <v>2043</v>
      </c>
      <c r="G973" s="70" t="s">
        <v>1138</v>
      </c>
      <c r="H973" s="70" t="s">
        <v>2043</v>
      </c>
      <c r="I973" s="70" t="s">
        <v>1138</v>
      </c>
      <c r="J973" s="70" t="s">
        <v>2044</v>
      </c>
      <c r="K973" s="70" t="s">
        <v>1139</v>
      </c>
      <c r="L973" s="70" t="s">
        <v>595</v>
      </c>
      <c r="M973" s="12" t="s">
        <v>918</v>
      </c>
      <c r="N973" s="26">
        <v>1</v>
      </c>
      <c r="O973" s="57">
        <v>196429</v>
      </c>
      <c r="P973" s="62">
        <f t="shared" si="15"/>
        <v>196429</v>
      </c>
      <c r="Q973" s="6" t="s">
        <v>397</v>
      </c>
      <c r="R973" s="6" t="s">
        <v>770</v>
      </c>
      <c r="S973" s="38">
        <v>311000000</v>
      </c>
      <c r="T973" s="15">
        <v>0</v>
      </c>
    </row>
    <row r="974" spans="1:20" ht="51" outlineLevel="1">
      <c r="B974" s="6">
        <v>958</v>
      </c>
      <c r="C974" s="16" t="s">
        <v>714</v>
      </c>
      <c r="D974" s="6" t="s">
        <v>601</v>
      </c>
      <c r="E974" s="12" t="s">
        <v>496</v>
      </c>
      <c r="F974" s="70" t="s">
        <v>2084</v>
      </c>
      <c r="G974" s="70" t="s">
        <v>111</v>
      </c>
      <c r="H974" s="70" t="s">
        <v>2084</v>
      </c>
      <c r="I974" s="70" t="s">
        <v>111</v>
      </c>
      <c r="J974" s="70" t="s">
        <v>2084</v>
      </c>
      <c r="K974" s="70" t="s">
        <v>111</v>
      </c>
      <c r="L974" s="70" t="s">
        <v>595</v>
      </c>
      <c r="M974" s="12" t="s">
        <v>918</v>
      </c>
      <c r="N974" s="26">
        <v>1</v>
      </c>
      <c r="O974" s="57">
        <f>P974</f>
        <v>0</v>
      </c>
      <c r="P974" s="62">
        <f>97768-97768</f>
        <v>0</v>
      </c>
      <c r="Q974" s="6" t="s">
        <v>519</v>
      </c>
      <c r="R974" s="6" t="s">
        <v>770</v>
      </c>
      <c r="S974" s="38">
        <v>311000000</v>
      </c>
      <c r="T974" s="15">
        <v>0</v>
      </c>
    </row>
    <row r="975" spans="1:20" ht="51" outlineLevel="1">
      <c r="B975" s="6">
        <v>959</v>
      </c>
      <c r="C975" s="16" t="s">
        <v>714</v>
      </c>
      <c r="D975" s="6" t="s">
        <v>601</v>
      </c>
      <c r="E975" s="58" t="s">
        <v>497</v>
      </c>
      <c r="F975" s="70" t="s">
        <v>1792</v>
      </c>
      <c r="G975" s="70" t="s">
        <v>113</v>
      </c>
      <c r="H975" s="70" t="s">
        <v>1792</v>
      </c>
      <c r="I975" s="70" t="s">
        <v>113</v>
      </c>
      <c r="J975" s="70" t="s">
        <v>1792</v>
      </c>
      <c r="K975" s="70" t="s">
        <v>113</v>
      </c>
      <c r="L975" s="70" t="s">
        <v>595</v>
      </c>
      <c r="M975" s="12" t="s">
        <v>918</v>
      </c>
      <c r="N975" s="26">
        <v>1</v>
      </c>
      <c r="O975" s="57">
        <v>5357</v>
      </c>
      <c r="P975" s="62">
        <f t="shared" si="15"/>
        <v>5357</v>
      </c>
      <c r="Q975" s="6" t="s">
        <v>397</v>
      </c>
      <c r="R975" s="6" t="s">
        <v>770</v>
      </c>
      <c r="S975" s="38">
        <v>311000000</v>
      </c>
      <c r="T975" s="15">
        <v>100</v>
      </c>
    </row>
    <row r="976" spans="1:20" ht="76.5" outlineLevel="1">
      <c r="B976" s="6">
        <v>960</v>
      </c>
      <c r="C976" s="16" t="s">
        <v>714</v>
      </c>
      <c r="D976" s="6" t="s">
        <v>601</v>
      </c>
      <c r="E976" s="6" t="s">
        <v>489</v>
      </c>
      <c r="F976" s="70" t="s">
        <v>490</v>
      </c>
      <c r="G976" s="70" t="s">
        <v>491</v>
      </c>
      <c r="H976" s="70" t="s">
        <v>2069</v>
      </c>
      <c r="I976" s="70" t="s">
        <v>492</v>
      </c>
      <c r="J976" s="70" t="s">
        <v>2070</v>
      </c>
      <c r="K976" s="70" t="s">
        <v>40</v>
      </c>
      <c r="L976" s="70" t="s">
        <v>595</v>
      </c>
      <c r="M976" s="12" t="s">
        <v>918</v>
      </c>
      <c r="N976" s="26">
        <v>1</v>
      </c>
      <c r="O976" s="57">
        <v>840357</v>
      </c>
      <c r="P976" s="62">
        <f t="shared" si="15"/>
        <v>840357</v>
      </c>
      <c r="Q976" s="6" t="s">
        <v>397</v>
      </c>
      <c r="R976" s="6" t="s">
        <v>770</v>
      </c>
      <c r="S976" s="38" t="s">
        <v>2032</v>
      </c>
      <c r="T976" s="6">
        <v>30</v>
      </c>
    </row>
    <row r="977" spans="2:20" ht="51" outlineLevel="1">
      <c r="B977" s="6">
        <v>961</v>
      </c>
      <c r="C977" s="16" t="s">
        <v>714</v>
      </c>
      <c r="D977" s="6" t="s">
        <v>601</v>
      </c>
      <c r="E977" s="6" t="s">
        <v>493</v>
      </c>
      <c r="F977" s="70" t="s">
        <v>2043</v>
      </c>
      <c r="G977" s="70" t="s">
        <v>1138</v>
      </c>
      <c r="H977" s="70" t="s">
        <v>2043</v>
      </c>
      <c r="I977" s="70" t="s">
        <v>1138</v>
      </c>
      <c r="J977" s="70" t="s">
        <v>2044</v>
      </c>
      <c r="K977" s="70" t="s">
        <v>1139</v>
      </c>
      <c r="L977" s="70" t="s">
        <v>595</v>
      </c>
      <c r="M977" s="12" t="s">
        <v>918</v>
      </c>
      <c r="N977" s="26">
        <v>1</v>
      </c>
      <c r="O977" s="57">
        <v>150000</v>
      </c>
      <c r="P977" s="62">
        <f t="shared" ref="P977:P1040" si="16">N977*O977</f>
        <v>150000</v>
      </c>
      <c r="Q977" s="6" t="s">
        <v>397</v>
      </c>
      <c r="R977" s="6" t="s">
        <v>770</v>
      </c>
      <c r="S977" s="38" t="s">
        <v>2032</v>
      </c>
      <c r="T977" s="6">
        <v>30</v>
      </c>
    </row>
    <row r="978" spans="2:20" ht="51" outlineLevel="1">
      <c r="B978" s="6">
        <v>962</v>
      </c>
      <c r="C978" s="16" t="s">
        <v>714</v>
      </c>
      <c r="D978" s="6" t="s">
        <v>601</v>
      </c>
      <c r="E978" s="12" t="s">
        <v>496</v>
      </c>
      <c r="F978" s="70" t="s">
        <v>2084</v>
      </c>
      <c r="G978" s="70" t="s">
        <v>111</v>
      </c>
      <c r="H978" s="70" t="s">
        <v>2084</v>
      </c>
      <c r="I978" s="70" t="s">
        <v>111</v>
      </c>
      <c r="J978" s="70" t="s">
        <v>2084</v>
      </c>
      <c r="K978" s="70" t="s">
        <v>111</v>
      </c>
      <c r="L978" s="70" t="s">
        <v>595</v>
      </c>
      <c r="M978" s="12" t="s">
        <v>918</v>
      </c>
      <c r="N978" s="26">
        <v>1</v>
      </c>
      <c r="O978" s="57">
        <v>171429</v>
      </c>
      <c r="P978" s="62">
        <f t="shared" si="16"/>
        <v>171429</v>
      </c>
      <c r="Q978" s="6" t="s">
        <v>397</v>
      </c>
      <c r="R978" s="6" t="s">
        <v>770</v>
      </c>
      <c r="S978" s="38" t="s">
        <v>2032</v>
      </c>
      <c r="T978" s="6">
        <v>30</v>
      </c>
    </row>
    <row r="979" spans="2:20" ht="51" outlineLevel="1">
      <c r="B979" s="6">
        <v>963</v>
      </c>
      <c r="C979" s="16" t="s">
        <v>714</v>
      </c>
      <c r="D979" s="6" t="s">
        <v>601</v>
      </c>
      <c r="E979" s="58" t="s">
        <v>497</v>
      </c>
      <c r="F979" s="70" t="s">
        <v>1792</v>
      </c>
      <c r="G979" s="70" t="s">
        <v>113</v>
      </c>
      <c r="H979" s="70" t="s">
        <v>1792</v>
      </c>
      <c r="I979" s="70" t="s">
        <v>113</v>
      </c>
      <c r="J979" s="70" t="s">
        <v>1792</v>
      </c>
      <c r="K979" s="70" t="s">
        <v>113</v>
      </c>
      <c r="L979" s="70" t="s">
        <v>595</v>
      </c>
      <c r="M979" s="12" t="s">
        <v>918</v>
      </c>
      <c r="N979" s="26">
        <v>1</v>
      </c>
      <c r="O979" s="57">
        <v>8929</v>
      </c>
      <c r="P979" s="62">
        <f t="shared" si="16"/>
        <v>8929</v>
      </c>
      <c r="Q979" s="6" t="s">
        <v>397</v>
      </c>
      <c r="R979" s="6" t="s">
        <v>770</v>
      </c>
      <c r="S979" s="38" t="s">
        <v>2032</v>
      </c>
      <c r="T979" s="6">
        <v>100</v>
      </c>
    </row>
    <row r="980" spans="2:20" ht="76.5" outlineLevel="1">
      <c r="B980" s="6">
        <v>964</v>
      </c>
      <c r="C980" s="16" t="s">
        <v>714</v>
      </c>
      <c r="D980" s="6" t="s">
        <v>601</v>
      </c>
      <c r="E980" s="6" t="s">
        <v>489</v>
      </c>
      <c r="F980" s="70" t="s">
        <v>490</v>
      </c>
      <c r="G980" s="70" t="s">
        <v>491</v>
      </c>
      <c r="H980" s="70" t="s">
        <v>2069</v>
      </c>
      <c r="I980" s="70" t="s">
        <v>492</v>
      </c>
      <c r="J980" s="70" t="s">
        <v>2070</v>
      </c>
      <c r="K980" s="70" t="s">
        <v>40</v>
      </c>
      <c r="L980" s="70" t="s">
        <v>595</v>
      </c>
      <c r="M980" s="12" t="s">
        <v>918</v>
      </c>
      <c r="N980" s="26">
        <v>1</v>
      </c>
      <c r="O980" s="57">
        <v>602732</v>
      </c>
      <c r="P980" s="62">
        <f t="shared" si="16"/>
        <v>602732</v>
      </c>
      <c r="Q980" s="6" t="s">
        <v>397</v>
      </c>
      <c r="R980" s="6" t="s">
        <v>770</v>
      </c>
      <c r="S980" s="38">
        <v>351000000</v>
      </c>
      <c r="T980" s="26">
        <v>0</v>
      </c>
    </row>
    <row r="981" spans="2:20" ht="51" outlineLevel="1">
      <c r="B981" s="6">
        <v>965</v>
      </c>
      <c r="C981" s="16" t="s">
        <v>714</v>
      </c>
      <c r="D981" s="6" t="s">
        <v>601</v>
      </c>
      <c r="E981" s="6" t="s">
        <v>493</v>
      </c>
      <c r="F981" s="70" t="s">
        <v>2043</v>
      </c>
      <c r="G981" s="70" t="s">
        <v>1138</v>
      </c>
      <c r="H981" s="70" t="s">
        <v>2043</v>
      </c>
      <c r="I981" s="70" t="s">
        <v>1138</v>
      </c>
      <c r="J981" s="70" t="s">
        <v>2044</v>
      </c>
      <c r="K981" s="70" t="s">
        <v>1139</v>
      </c>
      <c r="L981" s="70" t="s">
        <v>595</v>
      </c>
      <c r="M981" s="12" t="s">
        <v>918</v>
      </c>
      <c r="N981" s="26">
        <v>1</v>
      </c>
      <c r="O981" s="57">
        <v>171429</v>
      </c>
      <c r="P981" s="62">
        <f t="shared" si="16"/>
        <v>171429</v>
      </c>
      <c r="Q981" s="6" t="s">
        <v>397</v>
      </c>
      <c r="R981" s="6" t="s">
        <v>770</v>
      </c>
      <c r="S981" s="38">
        <v>351000000</v>
      </c>
      <c r="T981" s="26">
        <v>0</v>
      </c>
    </row>
    <row r="982" spans="2:20" ht="51" outlineLevel="1">
      <c r="B982" s="6">
        <v>966</v>
      </c>
      <c r="C982" s="16" t="s">
        <v>714</v>
      </c>
      <c r="D982" s="6" t="s">
        <v>601</v>
      </c>
      <c r="E982" s="12" t="s">
        <v>496</v>
      </c>
      <c r="F982" s="70" t="s">
        <v>2084</v>
      </c>
      <c r="G982" s="70" t="s">
        <v>111</v>
      </c>
      <c r="H982" s="70" t="s">
        <v>2084</v>
      </c>
      <c r="I982" s="70" t="s">
        <v>111</v>
      </c>
      <c r="J982" s="70" t="s">
        <v>2084</v>
      </c>
      <c r="K982" s="70" t="s">
        <v>111</v>
      </c>
      <c r="L982" s="70" t="s">
        <v>595</v>
      </c>
      <c r="M982" s="12" t="s">
        <v>918</v>
      </c>
      <c r="N982" s="26">
        <v>1</v>
      </c>
      <c r="O982" s="57">
        <v>178571</v>
      </c>
      <c r="P982" s="62">
        <f t="shared" si="16"/>
        <v>178571</v>
      </c>
      <c r="Q982" s="6" t="s">
        <v>397</v>
      </c>
      <c r="R982" s="6" t="s">
        <v>770</v>
      </c>
      <c r="S982" s="38">
        <v>351000000</v>
      </c>
      <c r="T982" s="26">
        <v>0</v>
      </c>
    </row>
    <row r="983" spans="2:20" ht="51" outlineLevel="1">
      <c r="B983" s="6">
        <v>967</v>
      </c>
      <c r="C983" s="16" t="s">
        <v>714</v>
      </c>
      <c r="D983" s="6" t="s">
        <v>601</v>
      </c>
      <c r="E983" s="58" t="s">
        <v>497</v>
      </c>
      <c r="F983" s="70" t="s">
        <v>1792</v>
      </c>
      <c r="G983" s="70" t="s">
        <v>113</v>
      </c>
      <c r="H983" s="70" t="s">
        <v>1792</v>
      </c>
      <c r="I983" s="70" t="s">
        <v>113</v>
      </c>
      <c r="J983" s="70" t="s">
        <v>1792</v>
      </c>
      <c r="K983" s="70" t="s">
        <v>113</v>
      </c>
      <c r="L983" s="70" t="s">
        <v>595</v>
      </c>
      <c r="M983" s="12" t="s">
        <v>918</v>
      </c>
      <c r="N983" s="26">
        <v>1</v>
      </c>
      <c r="O983" s="57">
        <f>P983</f>
        <v>6785.5</v>
      </c>
      <c r="P983" s="62">
        <f>13571-6785.5</f>
        <v>6785.5</v>
      </c>
      <c r="Q983" s="6" t="s">
        <v>616</v>
      </c>
      <c r="R983" s="6" t="s">
        <v>770</v>
      </c>
      <c r="S983" s="38">
        <v>351000000</v>
      </c>
      <c r="T983" s="26">
        <v>100</v>
      </c>
    </row>
    <row r="984" spans="2:20" ht="76.5" outlineLevel="1">
      <c r="B984" s="6">
        <v>968</v>
      </c>
      <c r="C984" s="16" t="s">
        <v>714</v>
      </c>
      <c r="D984" s="6" t="s">
        <v>601</v>
      </c>
      <c r="E984" s="6" t="s">
        <v>489</v>
      </c>
      <c r="F984" s="70" t="s">
        <v>490</v>
      </c>
      <c r="G984" s="70" t="s">
        <v>491</v>
      </c>
      <c r="H984" s="70" t="s">
        <v>2069</v>
      </c>
      <c r="I984" s="70" t="s">
        <v>492</v>
      </c>
      <c r="J984" s="70" t="s">
        <v>2070</v>
      </c>
      <c r="K984" s="70" t="s">
        <v>40</v>
      </c>
      <c r="L984" s="70" t="s">
        <v>595</v>
      </c>
      <c r="M984" s="12" t="s">
        <v>918</v>
      </c>
      <c r="N984" s="26">
        <v>1</v>
      </c>
      <c r="O984" s="57">
        <v>535714</v>
      </c>
      <c r="P984" s="62">
        <f t="shared" si="16"/>
        <v>535714</v>
      </c>
      <c r="Q984" s="6" t="s">
        <v>397</v>
      </c>
      <c r="R984" s="6" t="s">
        <v>770</v>
      </c>
      <c r="S984" s="38" t="s">
        <v>929</v>
      </c>
      <c r="T984" s="26">
        <v>0</v>
      </c>
    </row>
    <row r="985" spans="2:20" ht="40.5" customHeight="1" outlineLevel="1">
      <c r="B985" s="6">
        <v>969</v>
      </c>
      <c r="C985" s="16" t="s">
        <v>714</v>
      </c>
      <c r="D985" s="6" t="s">
        <v>601</v>
      </c>
      <c r="E985" s="40" t="s">
        <v>493</v>
      </c>
      <c r="F985" s="70" t="s">
        <v>2043</v>
      </c>
      <c r="G985" s="70" t="s">
        <v>1138</v>
      </c>
      <c r="H985" s="70" t="s">
        <v>2043</v>
      </c>
      <c r="I985" s="70" t="s">
        <v>1138</v>
      </c>
      <c r="J985" s="70" t="s">
        <v>2044</v>
      </c>
      <c r="K985" s="70" t="s">
        <v>1139</v>
      </c>
      <c r="L985" s="70" t="s">
        <v>595</v>
      </c>
      <c r="M985" s="12" t="s">
        <v>918</v>
      </c>
      <c r="N985" s="26">
        <v>1</v>
      </c>
      <c r="O985" s="57">
        <v>133929</v>
      </c>
      <c r="P985" s="62">
        <f t="shared" si="16"/>
        <v>133929</v>
      </c>
      <c r="Q985" s="6" t="s">
        <v>397</v>
      </c>
      <c r="R985" s="6" t="s">
        <v>770</v>
      </c>
      <c r="S985" s="38" t="s">
        <v>929</v>
      </c>
      <c r="T985" s="26">
        <v>0</v>
      </c>
    </row>
    <row r="986" spans="2:20" ht="45.75" customHeight="1" outlineLevel="1">
      <c r="B986" s="6">
        <v>970</v>
      </c>
      <c r="C986" s="16" t="s">
        <v>714</v>
      </c>
      <c r="D986" s="6" t="s">
        <v>601</v>
      </c>
      <c r="E986" s="58" t="s">
        <v>497</v>
      </c>
      <c r="F986" s="70" t="s">
        <v>1792</v>
      </c>
      <c r="G986" s="70" t="s">
        <v>113</v>
      </c>
      <c r="H986" s="70" t="s">
        <v>1792</v>
      </c>
      <c r="I986" s="70" t="s">
        <v>113</v>
      </c>
      <c r="J986" s="70" t="s">
        <v>1792</v>
      </c>
      <c r="K986" s="70" t="s">
        <v>113</v>
      </c>
      <c r="L986" s="70" t="s">
        <v>595</v>
      </c>
      <c r="M986" s="12" t="s">
        <v>918</v>
      </c>
      <c r="N986" s="26">
        <v>1</v>
      </c>
      <c r="O986" s="57">
        <v>8929</v>
      </c>
      <c r="P986" s="62">
        <f t="shared" si="16"/>
        <v>8929</v>
      </c>
      <c r="Q986" s="6" t="s">
        <v>397</v>
      </c>
      <c r="R986" s="15" t="s">
        <v>1479</v>
      </c>
      <c r="S986" s="38" t="s">
        <v>929</v>
      </c>
      <c r="T986" s="26">
        <v>100</v>
      </c>
    </row>
    <row r="987" spans="2:20" ht="76.5" outlineLevel="1">
      <c r="B987" s="6">
        <v>971</v>
      </c>
      <c r="C987" s="16" t="s">
        <v>714</v>
      </c>
      <c r="D987" s="6" t="s">
        <v>601</v>
      </c>
      <c r="E987" s="6" t="s">
        <v>489</v>
      </c>
      <c r="F987" s="70" t="s">
        <v>490</v>
      </c>
      <c r="G987" s="70" t="s">
        <v>491</v>
      </c>
      <c r="H987" s="70" t="s">
        <v>2069</v>
      </c>
      <c r="I987" s="70" t="s">
        <v>492</v>
      </c>
      <c r="J987" s="70" t="s">
        <v>2070</v>
      </c>
      <c r="K987" s="70" t="s">
        <v>40</v>
      </c>
      <c r="L987" s="70" t="s">
        <v>595</v>
      </c>
      <c r="M987" s="12" t="s">
        <v>918</v>
      </c>
      <c r="N987" s="26">
        <v>1</v>
      </c>
      <c r="O987" s="57">
        <v>625000</v>
      </c>
      <c r="P987" s="62">
        <f t="shared" si="16"/>
        <v>625000</v>
      </c>
      <c r="Q987" s="6" t="s">
        <v>397</v>
      </c>
      <c r="R987" s="6" t="s">
        <v>770</v>
      </c>
      <c r="S987" s="38">
        <v>431000000</v>
      </c>
      <c r="T987" s="26">
        <v>0</v>
      </c>
    </row>
    <row r="988" spans="2:20" ht="51" outlineLevel="1">
      <c r="B988" s="6">
        <v>972</v>
      </c>
      <c r="C988" s="16" t="s">
        <v>714</v>
      </c>
      <c r="D988" s="6" t="s">
        <v>601</v>
      </c>
      <c r="E988" s="6" t="s">
        <v>493</v>
      </c>
      <c r="F988" s="70" t="s">
        <v>2043</v>
      </c>
      <c r="G988" s="70" t="s">
        <v>1138</v>
      </c>
      <c r="H988" s="70" t="s">
        <v>2043</v>
      </c>
      <c r="I988" s="70" t="s">
        <v>1138</v>
      </c>
      <c r="J988" s="70" t="s">
        <v>2044</v>
      </c>
      <c r="K988" s="70" t="s">
        <v>1139</v>
      </c>
      <c r="L988" s="70" t="s">
        <v>595</v>
      </c>
      <c r="M988" s="12" t="s">
        <v>918</v>
      </c>
      <c r="N988" s="26">
        <v>1</v>
      </c>
      <c r="O988" s="57">
        <v>160714</v>
      </c>
      <c r="P988" s="62">
        <f t="shared" si="16"/>
        <v>160714</v>
      </c>
      <c r="Q988" s="6" t="s">
        <v>397</v>
      </c>
      <c r="R988" s="6" t="s">
        <v>770</v>
      </c>
      <c r="S988" s="38">
        <v>431000000</v>
      </c>
      <c r="T988" s="26">
        <v>0</v>
      </c>
    </row>
    <row r="989" spans="2:20" ht="51" outlineLevel="1">
      <c r="B989" s="6">
        <v>973</v>
      </c>
      <c r="C989" s="16" t="s">
        <v>714</v>
      </c>
      <c r="D989" s="6" t="s">
        <v>601</v>
      </c>
      <c r="E989" s="58" t="s">
        <v>497</v>
      </c>
      <c r="F989" s="70" t="s">
        <v>1792</v>
      </c>
      <c r="G989" s="70" t="s">
        <v>113</v>
      </c>
      <c r="H989" s="70" t="s">
        <v>1792</v>
      </c>
      <c r="I989" s="70" t="s">
        <v>113</v>
      </c>
      <c r="J989" s="70" t="s">
        <v>1792</v>
      </c>
      <c r="K989" s="70" t="s">
        <v>113</v>
      </c>
      <c r="L989" s="70" t="s">
        <v>595</v>
      </c>
      <c r="M989" s="12" t="s">
        <v>918</v>
      </c>
      <c r="N989" s="26">
        <v>1</v>
      </c>
      <c r="O989" s="57">
        <v>8929</v>
      </c>
      <c r="P989" s="62">
        <f t="shared" si="16"/>
        <v>8929</v>
      </c>
      <c r="Q989" s="6" t="s">
        <v>397</v>
      </c>
      <c r="R989" s="6" t="s">
        <v>398</v>
      </c>
      <c r="S989" s="38">
        <v>431000000</v>
      </c>
      <c r="T989" s="26">
        <v>0</v>
      </c>
    </row>
    <row r="990" spans="2:20" ht="76.5" outlineLevel="1">
      <c r="B990" s="6">
        <v>974</v>
      </c>
      <c r="C990" s="36" t="s">
        <v>714</v>
      </c>
      <c r="D990" s="43" t="s">
        <v>601</v>
      </c>
      <c r="E990" s="6" t="s">
        <v>489</v>
      </c>
      <c r="F990" s="70" t="s">
        <v>490</v>
      </c>
      <c r="G990" s="70" t="s">
        <v>491</v>
      </c>
      <c r="H990" s="70" t="s">
        <v>2069</v>
      </c>
      <c r="I990" s="70" t="s">
        <v>492</v>
      </c>
      <c r="J990" s="70" t="s">
        <v>2070</v>
      </c>
      <c r="K990" s="70" t="s">
        <v>40</v>
      </c>
      <c r="L990" s="70" t="s">
        <v>595</v>
      </c>
      <c r="M990" s="12" t="s">
        <v>918</v>
      </c>
      <c r="N990" s="26">
        <v>1</v>
      </c>
      <c r="O990" s="57">
        <v>375000</v>
      </c>
      <c r="P990" s="62">
        <f t="shared" si="16"/>
        <v>375000</v>
      </c>
      <c r="Q990" s="6" t="s">
        <v>397</v>
      </c>
      <c r="R990" s="6" t="s">
        <v>770</v>
      </c>
      <c r="S990" s="38" t="s">
        <v>719</v>
      </c>
      <c r="T990" s="26">
        <v>0</v>
      </c>
    </row>
    <row r="991" spans="2:20" ht="51" outlineLevel="1">
      <c r="B991" s="6">
        <v>975</v>
      </c>
      <c r="C991" s="36" t="s">
        <v>714</v>
      </c>
      <c r="D991" s="43" t="s">
        <v>601</v>
      </c>
      <c r="E991" s="6" t="s">
        <v>493</v>
      </c>
      <c r="F991" s="70" t="s">
        <v>2043</v>
      </c>
      <c r="G991" s="70" t="s">
        <v>1138</v>
      </c>
      <c r="H991" s="70" t="s">
        <v>2043</v>
      </c>
      <c r="I991" s="70" t="s">
        <v>1138</v>
      </c>
      <c r="J991" s="70" t="s">
        <v>2044</v>
      </c>
      <c r="K991" s="70" t="s">
        <v>1139</v>
      </c>
      <c r="L991" s="70" t="s">
        <v>595</v>
      </c>
      <c r="M991" s="12" t="s">
        <v>918</v>
      </c>
      <c r="N991" s="26">
        <v>1</v>
      </c>
      <c r="O991" s="57">
        <v>171429</v>
      </c>
      <c r="P991" s="62">
        <f t="shared" si="16"/>
        <v>171429</v>
      </c>
      <c r="Q991" s="6" t="s">
        <v>397</v>
      </c>
      <c r="R991" s="6" t="s">
        <v>770</v>
      </c>
      <c r="S991" s="38" t="s">
        <v>719</v>
      </c>
      <c r="T991" s="26">
        <v>100</v>
      </c>
    </row>
    <row r="992" spans="2:20" ht="51" outlineLevel="1">
      <c r="B992" s="6">
        <v>976</v>
      </c>
      <c r="C992" s="36" t="s">
        <v>714</v>
      </c>
      <c r="D992" s="43" t="s">
        <v>601</v>
      </c>
      <c r="E992" s="12" t="s">
        <v>496</v>
      </c>
      <c r="F992" s="70" t="s">
        <v>2084</v>
      </c>
      <c r="G992" s="70" t="s">
        <v>111</v>
      </c>
      <c r="H992" s="70" t="s">
        <v>2084</v>
      </c>
      <c r="I992" s="70" t="s">
        <v>111</v>
      </c>
      <c r="J992" s="70" t="s">
        <v>2084</v>
      </c>
      <c r="K992" s="70" t="s">
        <v>111</v>
      </c>
      <c r="L992" s="70" t="s">
        <v>595</v>
      </c>
      <c r="M992" s="12" t="s">
        <v>918</v>
      </c>
      <c r="N992" s="26">
        <v>1</v>
      </c>
      <c r="O992" s="57">
        <v>97768</v>
      </c>
      <c r="P992" s="62">
        <f t="shared" si="16"/>
        <v>97768</v>
      </c>
      <c r="Q992" s="6" t="s">
        <v>397</v>
      </c>
      <c r="R992" s="6" t="s">
        <v>770</v>
      </c>
      <c r="S992" s="38" t="s">
        <v>719</v>
      </c>
      <c r="T992" s="26">
        <v>100</v>
      </c>
    </row>
    <row r="993" spans="2:20" ht="51" outlineLevel="1">
      <c r="B993" s="6">
        <v>977</v>
      </c>
      <c r="C993" s="36" t="s">
        <v>714</v>
      </c>
      <c r="D993" s="43" t="s">
        <v>601</v>
      </c>
      <c r="E993" s="58" t="s">
        <v>497</v>
      </c>
      <c r="F993" s="70" t="s">
        <v>1792</v>
      </c>
      <c r="G993" s="70" t="s">
        <v>113</v>
      </c>
      <c r="H993" s="70" t="s">
        <v>1792</v>
      </c>
      <c r="I993" s="70" t="s">
        <v>113</v>
      </c>
      <c r="J993" s="70" t="s">
        <v>1792</v>
      </c>
      <c r="K993" s="70" t="s">
        <v>113</v>
      </c>
      <c r="L993" s="70" t="s">
        <v>595</v>
      </c>
      <c r="M993" s="12" t="s">
        <v>918</v>
      </c>
      <c r="N993" s="26">
        <v>1</v>
      </c>
      <c r="O993" s="57">
        <v>8929</v>
      </c>
      <c r="P993" s="62">
        <f t="shared" si="16"/>
        <v>8929</v>
      </c>
      <c r="Q993" s="6" t="s">
        <v>519</v>
      </c>
      <c r="R993" s="6" t="s">
        <v>770</v>
      </c>
      <c r="S993" s="38" t="s">
        <v>719</v>
      </c>
      <c r="T993" s="26">
        <v>0</v>
      </c>
    </row>
    <row r="994" spans="2:20" s="39" customFormat="1" ht="76.5">
      <c r="B994" s="6">
        <v>978</v>
      </c>
      <c r="C994" s="16" t="s">
        <v>714</v>
      </c>
      <c r="D994" s="6" t="s">
        <v>601</v>
      </c>
      <c r="E994" s="6" t="s">
        <v>489</v>
      </c>
      <c r="F994" s="70" t="s">
        <v>490</v>
      </c>
      <c r="G994" s="70" t="s">
        <v>491</v>
      </c>
      <c r="H994" s="70" t="s">
        <v>2069</v>
      </c>
      <c r="I994" s="70" t="s">
        <v>492</v>
      </c>
      <c r="J994" s="70" t="s">
        <v>2070</v>
      </c>
      <c r="K994" s="70" t="s">
        <v>40</v>
      </c>
      <c r="L994" s="70" t="s">
        <v>595</v>
      </c>
      <c r="M994" s="12" t="s">
        <v>918</v>
      </c>
      <c r="N994" s="26">
        <v>1</v>
      </c>
      <c r="O994" s="57">
        <v>642857</v>
      </c>
      <c r="P994" s="62">
        <f t="shared" si="16"/>
        <v>642857</v>
      </c>
      <c r="Q994" s="6" t="s">
        <v>397</v>
      </c>
      <c r="R994" s="6" t="s">
        <v>770</v>
      </c>
      <c r="S994" s="38">
        <v>551000000</v>
      </c>
      <c r="T994" s="26">
        <v>0</v>
      </c>
    </row>
    <row r="995" spans="2:20" s="39" customFormat="1" ht="51">
      <c r="B995" s="6">
        <v>979</v>
      </c>
      <c r="C995" s="16" t="s">
        <v>714</v>
      </c>
      <c r="D995" s="6" t="s">
        <v>601</v>
      </c>
      <c r="E995" s="38" t="s">
        <v>493</v>
      </c>
      <c r="F995" s="70" t="s">
        <v>2043</v>
      </c>
      <c r="G995" s="70" t="s">
        <v>1138</v>
      </c>
      <c r="H995" s="70" t="s">
        <v>2043</v>
      </c>
      <c r="I995" s="70" t="s">
        <v>1138</v>
      </c>
      <c r="J995" s="70" t="s">
        <v>2044</v>
      </c>
      <c r="K995" s="70" t="s">
        <v>1139</v>
      </c>
      <c r="L995" s="70" t="s">
        <v>595</v>
      </c>
      <c r="M995" s="12" t="s">
        <v>918</v>
      </c>
      <c r="N995" s="26">
        <v>1</v>
      </c>
      <c r="O995" s="57">
        <v>214286</v>
      </c>
      <c r="P995" s="62">
        <f t="shared" si="16"/>
        <v>214286</v>
      </c>
      <c r="Q995" s="6" t="s">
        <v>397</v>
      </c>
      <c r="R995" s="6" t="s">
        <v>770</v>
      </c>
      <c r="S995" s="38">
        <v>551000000</v>
      </c>
      <c r="T995" s="26">
        <v>0</v>
      </c>
    </row>
    <row r="996" spans="2:20" s="39" customFormat="1" ht="51">
      <c r="B996" s="6">
        <v>980</v>
      </c>
      <c r="C996" s="16" t="s">
        <v>714</v>
      </c>
      <c r="D996" s="6" t="s">
        <v>601</v>
      </c>
      <c r="E996" s="12" t="s">
        <v>496</v>
      </c>
      <c r="F996" s="70" t="s">
        <v>2084</v>
      </c>
      <c r="G996" s="70" t="s">
        <v>111</v>
      </c>
      <c r="H996" s="70" t="s">
        <v>2084</v>
      </c>
      <c r="I996" s="70" t="s">
        <v>111</v>
      </c>
      <c r="J996" s="70" t="s">
        <v>2084</v>
      </c>
      <c r="K996" s="70" t="s">
        <v>111</v>
      </c>
      <c r="L996" s="70" t="s">
        <v>595</v>
      </c>
      <c r="M996" s="12" t="s">
        <v>918</v>
      </c>
      <c r="N996" s="26">
        <v>1</v>
      </c>
      <c r="O996" s="57">
        <v>214286</v>
      </c>
      <c r="P996" s="62">
        <f t="shared" si="16"/>
        <v>214286</v>
      </c>
      <c r="Q996" s="6" t="s">
        <v>397</v>
      </c>
      <c r="R996" s="6" t="s">
        <v>770</v>
      </c>
      <c r="S996" s="38">
        <v>551000000</v>
      </c>
      <c r="T996" s="26">
        <v>0</v>
      </c>
    </row>
    <row r="997" spans="2:20" ht="76.5" outlineLevel="1">
      <c r="B997" s="6">
        <v>981</v>
      </c>
      <c r="C997" s="16" t="s">
        <v>945</v>
      </c>
      <c r="D997" s="6" t="s">
        <v>601</v>
      </c>
      <c r="E997" s="6" t="s">
        <v>489</v>
      </c>
      <c r="F997" s="70" t="s">
        <v>490</v>
      </c>
      <c r="G997" s="70" t="s">
        <v>491</v>
      </c>
      <c r="H997" s="70" t="s">
        <v>2069</v>
      </c>
      <c r="I997" s="70" t="s">
        <v>492</v>
      </c>
      <c r="J997" s="70" t="s">
        <v>2070</v>
      </c>
      <c r="K997" s="70" t="s">
        <v>40</v>
      </c>
      <c r="L997" s="70" t="s">
        <v>595</v>
      </c>
      <c r="M997" s="12" t="s">
        <v>918</v>
      </c>
      <c r="N997" s="26">
        <v>1</v>
      </c>
      <c r="O997" s="57">
        <v>275000</v>
      </c>
      <c r="P997" s="62">
        <f t="shared" si="16"/>
        <v>275000</v>
      </c>
      <c r="Q997" s="6" t="s">
        <v>395</v>
      </c>
      <c r="R997" s="6" t="s">
        <v>770</v>
      </c>
      <c r="S997" s="38">
        <v>591000000</v>
      </c>
      <c r="T997" s="26">
        <v>0</v>
      </c>
    </row>
    <row r="998" spans="2:20" ht="51" outlineLevel="1">
      <c r="B998" s="6">
        <v>982</v>
      </c>
      <c r="C998" s="16" t="s">
        <v>945</v>
      </c>
      <c r="D998" s="6" t="s">
        <v>601</v>
      </c>
      <c r="E998" s="6" t="s">
        <v>493</v>
      </c>
      <c r="F998" s="70" t="s">
        <v>2043</v>
      </c>
      <c r="G998" s="70" t="s">
        <v>1138</v>
      </c>
      <c r="H998" s="70" t="s">
        <v>2043</v>
      </c>
      <c r="I998" s="70" t="s">
        <v>1138</v>
      </c>
      <c r="J998" s="70" t="s">
        <v>2044</v>
      </c>
      <c r="K998" s="70" t="s">
        <v>1139</v>
      </c>
      <c r="L998" s="70" t="s">
        <v>595</v>
      </c>
      <c r="M998" s="12" t="s">
        <v>918</v>
      </c>
      <c r="N998" s="26">
        <v>1</v>
      </c>
      <c r="O998" s="57">
        <v>34157</v>
      </c>
      <c r="P998" s="62">
        <f t="shared" si="16"/>
        <v>34157</v>
      </c>
      <c r="Q998" s="6" t="s">
        <v>397</v>
      </c>
      <c r="R998" s="6" t="s">
        <v>770</v>
      </c>
      <c r="S998" s="38">
        <v>591000000</v>
      </c>
      <c r="T998" s="26">
        <v>0</v>
      </c>
    </row>
    <row r="999" spans="2:20" ht="51" outlineLevel="1">
      <c r="B999" s="6">
        <v>983</v>
      </c>
      <c r="C999" s="16" t="s">
        <v>945</v>
      </c>
      <c r="D999" s="6" t="s">
        <v>601</v>
      </c>
      <c r="E999" s="12" t="s">
        <v>496</v>
      </c>
      <c r="F999" s="70" t="s">
        <v>2084</v>
      </c>
      <c r="G999" s="70" t="s">
        <v>111</v>
      </c>
      <c r="H999" s="70" t="s">
        <v>2084</v>
      </c>
      <c r="I999" s="70" t="s">
        <v>111</v>
      </c>
      <c r="J999" s="70" t="s">
        <v>2084</v>
      </c>
      <c r="K999" s="70" t="s">
        <v>111</v>
      </c>
      <c r="L999" s="70" t="s">
        <v>595</v>
      </c>
      <c r="M999" s="12" t="s">
        <v>918</v>
      </c>
      <c r="N999" s="26">
        <v>1</v>
      </c>
      <c r="O999" s="57">
        <v>168750</v>
      </c>
      <c r="P999" s="62">
        <f t="shared" si="16"/>
        <v>168750</v>
      </c>
      <c r="Q999" s="6" t="s">
        <v>397</v>
      </c>
      <c r="R999" s="6" t="s">
        <v>770</v>
      </c>
      <c r="S999" s="38">
        <v>591000000</v>
      </c>
      <c r="T999" s="26">
        <v>0</v>
      </c>
    </row>
    <row r="1000" spans="2:20" ht="51" outlineLevel="1">
      <c r="B1000" s="6">
        <v>984</v>
      </c>
      <c r="C1000" s="16" t="s">
        <v>945</v>
      </c>
      <c r="D1000" s="6" t="s">
        <v>601</v>
      </c>
      <c r="E1000" s="58" t="s">
        <v>497</v>
      </c>
      <c r="F1000" s="70" t="s">
        <v>1792</v>
      </c>
      <c r="G1000" s="70" t="s">
        <v>113</v>
      </c>
      <c r="H1000" s="70" t="s">
        <v>1792</v>
      </c>
      <c r="I1000" s="70" t="s">
        <v>113</v>
      </c>
      <c r="J1000" s="70" t="s">
        <v>1792</v>
      </c>
      <c r="K1000" s="70" t="s">
        <v>113</v>
      </c>
      <c r="L1000" s="70" t="s">
        <v>595</v>
      </c>
      <c r="M1000" s="12" t="s">
        <v>918</v>
      </c>
      <c r="N1000" s="26">
        <v>1</v>
      </c>
      <c r="O1000" s="57">
        <v>22321</v>
      </c>
      <c r="P1000" s="62">
        <f t="shared" si="16"/>
        <v>22321</v>
      </c>
      <c r="Q1000" s="6" t="s">
        <v>505</v>
      </c>
      <c r="R1000" s="6" t="s">
        <v>505</v>
      </c>
      <c r="S1000" s="38">
        <v>591000000</v>
      </c>
      <c r="T1000" s="26">
        <v>100</v>
      </c>
    </row>
    <row r="1001" spans="2:20" ht="76.5" outlineLevel="1">
      <c r="B1001" s="6">
        <v>985</v>
      </c>
      <c r="C1001" s="16" t="s">
        <v>714</v>
      </c>
      <c r="D1001" s="6" t="s">
        <v>601</v>
      </c>
      <c r="E1001" s="6" t="s">
        <v>489</v>
      </c>
      <c r="F1001" s="70" t="s">
        <v>490</v>
      </c>
      <c r="G1001" s="70" t="s">
        <v>491</v>
      </c>
      <c r="H1001" s="70" t="s">
        <v>2069</v>
      </c>
      <c r="I1001" s="70" t="s">
        <v>492</v>
      </c>
      <c r="J1001" s="70" t="s">
        <v>2070</v>
      </c>
      <c r="K1001" s="70" t="s">
        <v>40</v>
      </c>
      <c r="L1001" s="70" t="s">
        <v>595</v>
      </c>
      <c r="M1001" s="12" t="s">
        <v>918</v>
      </c>
      <c r="N1001" s="26">
        <v>1</v>
      </c>
      <c r="O1001" s="57">
        <v>303571</v>
      </c>
      <c r="P1001" s="62">
        <f t="shared" si="16"/>
        <v>303571</v>
      </c>
      <c r="Q1001" s="6" t="s">
        <v>395</v>
      </c>
      <c r="R1001" s="6" t="s">
        <v>770</v>
      </c>
      <c r="S1001" s="38" t="s">
        <v>2037</v>
      </c>
      <c r="T1001" s="6">
        <v>0</v>
      </c>
    </row>
    <row r="1002" spans="2:20" ht="51" outlineLevel="1">
      <c r="B1002" s="6">
        <v>986</v>
      </c>
      <c r="C1002" s="16" t="s">
        <v>714</v>
      </c>
      <c r="D1002" s="6" t="s">
        <v>601</v>
      </c>
      <c r="E1002" s="6" t="s">
        <v>493</v>
      </c>
      <c r="F1002" s="70" t="s">
        <v>2043</v>
      </c>
      <c r="G1002" s="70" t="s">
        <v>1138</v>
      </c>
      <c r="H1002" s="70" t="s">
        <v>2043</v>
      </c>
      <c r="I1002" s="70" t="s">
        <v>1138</v>
      </c>
      <c r="J1002" s="70" t="s">
        <v>2044</v>
      </c>
      <c r="K1002" s="70" t="s">
        <v>1139</v>
      </c>
      <c r="L1002" s="70" t="s">
        <v>595</v>
      </c>
      <c r="M1002" s="12" t="s">
        <v>918</v>
      </c>
      <c r="N1002" s="26">
        <v>1</v>
      </c>
      <c r="O1002" s="57">
        <f>P1002/N1002</f>
        <v>156250</v>
      </c>
      <c r="P1002" s="62">
        <f>187500-31250</f>
        <v>156250</v>
      </c>
      <c r="Q1002" s="6" t="s">
        <v>519</v>
      </c>
      <c r="R1002" s="6" t="s">
        <v>770</v>
      </c>
      <c r="S1002" s="38" t="s">
        <v>2037</v>
      </c>
      <c r="T1002" s="6">
        <v>0</v>
      </c>
    </row>
    <row r="1003" spans="2:20" ht="51" outlineLevel="1">
      <c r="B1003" s="6">
        <v>987</v>
      </c>
      <c r="C1003" s="36" t="s">
        <v>714</v>
      </c>
      <c r="D1003" s="43" t="s">
        <v>601</v>
      </c>
      <c r="E1003" s="12" t="s">
        <v>498</v>
      </c>
      <c r="F1003" s="70" t="s">
        <v>2075</v>
      </c>
      <c r="G1003" s="70" t="s">
        <v>500</v>
      </c>
      <c r="H1003" s="70" t="s">
        <v>2076</v>
      </c>
      <c r="I1003" s="70" t="s">
        <v>860</v>
      </c>
      <c r="J1003" s="70" t="s">
        <v>2077</v>
      </c>
      <c r="K1003" s="70" t="s">
        <v>124</v>
      </c>
      <c r="L1003" s="70" t="s">
        <v>595</v>
      </c>
      <c r="M1003" s="12" t="s">
        <v>918</v>
      </c>
      <c r="N1003" s="26">
        <v>1</v>
      </c>
      <c r="O1003" s="57">
        <v>2041560</v>
      </c>
      <c r="P1003" s="62">
        <f t="shared" si="16"/>
        <v>2041560</v>
      </c>
      <c r="Q1003" s="6" t="s">
        <v>397</v>
      </c>
      <c r="R1003" s="6" t="s">
        <v>770</v>
      </c>
      <c r="S1003" s="38" t="s">
        <v>2038</v>
      </c>
      <c r="T1003" s="26">
        <v>0</v>
      </c>
    </row>
    <row r="1004" spans="2:20" ht="51" outlineLevel="1">
      <c r="B1004" s="6">
        <v>988</v>
      </c>
      <c r="C1004" s="16" t="s">
        <v>714</v>
      </c>
      <c r="D1004" s="6" t="s">
        <v>601</v>
      </c>
      <c r="E1004" s="12" t="s">
        <v>498</v>
      </c>
      <c r="F1004" s="70" t="s">
        <v>2075</v>
      </c>
      <c r="G1004" s="70" t="s">
        <v>500</v>
      </c>
      <c r="H1004" s="70" t="s">
        <v>2076</v>
      </c>
      <c r="I1004" s="70" t="s">
        <v>860</v>
      </c>
      <c r="J1004" s="70" t="s">
        <v>2077</v>
      </c>
      <c r="K1004" s="70" t="s">
        <v>124</v>
      </c>
      <c r="L1004" s="70" t="s">
        <v>595</v>
      </c>
      <c r="M1004" s="12" t="s">
        <v>918</v>
      </c>
      <c r="N1004" s="26">
        <v>1</v>
      </c>
      <c r="O1004" s="57">
        <v>2883929</v>
      </c>
      <c r="P1004" s="62">
        <f t="shared" si="16"/>
        <v>2883929</v>
      </c>
      <c r="Q1004" s="6" t="s">
        <v>397</v>
      </c>
      <c r="R1004" s="6" t="s">
        <v>770</v>
      </c>
      <c r="S1004" s="38" t="s">
        <v>1025</v>
      </c>
      <c r="T1004" s="6">
        <v>0</v>
      </c>
    </row>
    <row r="1005" spans="2:20" ht="51" outlineLevel="1">
      <c r="B1005" s="6">
        <v>989</v>
      </c>
      <c r="C1005" s="16" t="s">
        <v>714</v>
      </c>
      <c r="D1005" s="6" t="s">
        <v>601</v>
      </c>
      <c r="E1005" s="12" t="s">
        <v>498</v>
      </c>
      <c r="F1005" s="70" t="s">
        <v>2075</v>
      </c>
      <c r="G1005" s="70" t="s">
        <v>500</v>
      </c>
      <c r="H1005" s="70" t="s">
        <v>2076</v>
      </c>
      <c r="I1005" s="70" t="s">
        <v>860</v>
      </c>
      <c r="J1005" s="70" t="s">
        <v>2077</v>
      </c>
      <c r="K1005" s="70" t="s">
        <v>124</v>
      </c>
      <c r="L1005" s="70" t="s">
        <v>595</v>
      </c>
      <c r="M1005" s="12" t="s">
        <v>918</v>
      </c>
      <c r="N1005" s="26">
        <v>1</v>
      </c>
      <c r="O1005" s="57">
        <v>1200000</v>
      </c>
      <c r="P1005" s="62">
        <f t="shared" si="16"/>
        <v>1200000</v>
      </c>
      <c r="Q1005" s="6" t="s">
        <v>395</v>
      </c>
      <c r="R1005" s="6" t="s">
        <v>770</v>
      </c>
      <c r="S1005" s="38" t="s">
        <v>793</v>
      </c>
      <c r="T1005" s="6">
        <v>0</v>
      </c>
    </row>
    <row r="1006" spans="2:20" ht="51">
      <c r="B1006" s="6">
        <v>990</v>
      </c>
      <c r="C1006" s="16" t="s">
        <v>714</v>
      </c>
      <c r="D1006" s="6" t="s">
        <v>601</v>
      </c>
      <c r="E1006" s="12" t="s">
        <v>498</v>
      </c>
      <c r="F1006" s="70" t="s">
        <v>2075</v>
      </c>
      <c r="G1006" s="70" t="s">
        <v>500</v>
      </c>
      <c r="H1006" s="70" t="s">
        <v>2076</v>
      </c>
      <c r="I1006" s="70" t="s">
        <v>860</v>
      </c>
      <c r="J1006" s="70" t="s">
        <v>2077</v>
      </c>
      <c r="K1006" s="70" t="s">
        <v>124</v>
      </c>
      <c r="L1006" s="70" t="s">
        <v>595</v>
      </c>
      <c r="M1006" s="12" t="s">
        <v>918</v>
      </c>
      <c r="N1006" s="26">
        <v>1</v>
      </c>
      <c r="O1006" s="57">
        <v>2649107</v>
      </c>
      <c r="P1006" s="62">
        <f t="shared" si="16"/>
        <v>2649107</v>
      </c>
      <c r="Q1006" s="6" t="s">
        <v>397</v>
      </c>
      <c r="R1006" s="6" t="s">
        <v>770</v>
      </c>
      <c r="S1006" s="38" t="s">
        <v>637</v>
      </c>
      <c r="T1006" s="26">
        <v>0</v>
      </c>
    </row>
    <row r="1007" spans="2:20" ht="51">
      <c r="B1007" s="6">
        <v>991</v>
      </c>
      <c r="C1007" s="16" t="s">
        <v>714</v>
      </c>
      <c r="D1007" s="6" t="s">
        <v>601</v>
      </c>
      <c r="E1007" s="12" t="s">
        <v>498</v>
      </c>
      <c r="F1007" s="70" t="s">
        <v>2075</v>
      </c>
      <c r="G1007" s="70" t="s">
        <v>500</v>
      </c>
      <c r="H1007" s="70" t="s">
        <v>2076</v>
      </c>
      <c r="I1007" s="70" t="s">
        <v>860</v>
      </c>
      <c r="J1007" s="70" t="s">
        <v>2077</v>
      </c>
      <c r="K1007" s="70" t="s">
        <v>124</v>
      </c>
      <c r="L1007" s="70" t="s">
        <v>595</v>
      </c>
      <c r="M1007" s="12" t="s">
        <v>918</v>
      </c>
      <c r="N1007" s="26">
        <v>1</v>
      </c>
      <c r="O1007" s="57">
        <v>910714</v>
      </c>
      <c r="P1007" s="62">
        <f t="shared" si="16"/>
        <v>910714</v>
      </c>
      <c r="Q1007" s="6" t="s">
        <v>397</v>
      </c>
      <c r="R1007" s="6" t="s">
        <v>770</v>
      </c>
      <c r="S1007" s="38">
        <v>311000000</v>
      </c>
      <c r="T1007" s="26">
        <v>0</v>
      </c>
    </row>
    <row r="1008" spans="2:20" ht="51">
      <c r="B1008" s="6">
        <v>992</v>
      </c>
      <c r="C1008" s="16" t="s">
        <v>714</v>
      </c>
      <c r="D1008" s="6" t="s">
        <v>601</v>
      </c>
      <c r="E1008" s="12" t="s">
        <v>498</v>
      </c>
      <c r="F1008" s="70" t="s">
        <v>2075</v>
      </c>
      <c r="G1008" s="70" t="s">
        <v>500</v>
      </c>
      <c r="H1008" s="70" t="s">
        <v>2076</v>
      </c>
      <c r="I1008" s="70" t="s">
        <v>860</v>
      </c>
      <c r="J1008" s="70" t="s">
        <v>2077</v>
      </c>
      <c r="K1008" s="70" t="s">
        <v>501</v>
      </c>
      <c r="L1008" s="70" t="s">
        <v>595</v>
      </c>
      <c r="M1008" s="12" t="s">
        <v>918</v>
      </c>
      <c r="N1008" s="26">
        <v>1</v>
      </c>
      <c r="O1008" s="57">
        <v>3000000</v>
      </c>
      <c r="P1008" s="62">
        <f t="shared" si="16"/>
        <v>3000000</v>
      </c>
      <c r="Q1008" s="6" t="s">
        <v>397</v>
      </c>
      <c r="R1008" s="6" t="s">
        <v>770</v>
      </c>
      <c r="S1008" s="38">
        <v>431000000</v>
      </c>
      <c r="T1008" s="26">
        <v>0</v>
      </c>
    </row>
    <row r="1009" spans="2:20" s="39" customFormat="1" ht="62.25" customHeight="1">
      <c r="B1009" s="6">
        <v>993</v>
      </c>
      <c r="C1009" s="16" t="s">
        <v>714</v>
      </c>
      <c r="D1009" s="6" t="s">
        <v>601</v>
      </c>
      <c r="E1009" s="12" t="s">
        <v>498</v>
      </c>
      <c r="F1009" s="70" t="s">
        <v>2075</v>
      </c>
      <c r="G1009" s="70" t="s">
        <v>500</v>
      </c>
      <c r="H1009" s="70" t="s">
        <v>2076</v>
      </c>
      <c r="I1009" s="70" t="s">
        <v>860</v>
      </c>
      <c r="J1009" s="70" t="s">
        <v>2077</v>
      </c>
      <c r="K1009" s="70" t="s">
        <v>124</v>
      </c>
      <c r="L1009" s="70" t="s">
        <v>595</v>
      </c>
      <c r="M1009" s="12" t="s">
        <v>918</v>
      </c>
      <c r="N1009" s="26">
        <v>1</v>
      </c>
      <c r="O1009" s="57">
        <v>2400000</v>
      </c>
      <c r="P1009" s="62">
        <f t="shared" si="16"/>
        <v>2400000</v>
      </c>
      <c r="Q1009" s="6" t="s">
        <v>397</v>
      </c>
      <c r="R1009" s="6" t="s">
        <v>770</v>
      </c>
      <c r="S1009" s="38">
        <v>551000000</v>
      </c>
      <c r="T1009" s="26">
        <v>0</v>
      </c>
    </row>
    <row r="1010" spans="2:20" ht="51" outlineLevel="1">
      <c r="B1010" s="6">
        <v>994</v>
      </c>
      <c r="C1010" s="16" t="s">
        <v>714</v>
      </c>
      <c r="D1010" s="6" t="s">
        <v>601</v>
      </c>
      <c r="E1010" s="12" t="s">
        <v>498</v>
      </c>
      <c r="F1010" s="70" t="s">
        <v>2075</v>
      </c>
      <c r="G1010" s="70" t="s">
        <v>500</v>
      </c>
      <c r="H1010" s="70" t="s">
        <v>2076</v>
      </c>
      <c r="I1010" s="70" t="s">
        <v>860</v>
      </c>
      <c r="J1010" s="70" t="s">
        <v>2077</v>
      </c>
      <c r="K1010" s="70" t="s">
        <v>124</v>
      </c>
      <c r="L1010" s="70" t="s">
        <v>595</v>
      </c>
      <c r="M1010" s="12" t="s">
        <v>918</v>
      </c>
      <c r="N1010" s="26">
        <v>1</v>
      </c>
      <c r="O1010" s="57">
        <f>P1010</f>
        <v>2340000</v>
      </c>
      <c r="P1010" s="62">
        <f>142857+2197143</f>
        <v>2340000</v>
      </c>
      <c r="Q1010" s="6" t="s">
        <v>397</v>
      </c>
      <c r="R1010" s="6" t="s">
        <v>770</v>
      </c>
      <c r="S1010" s="38" t="s">
        <v>2037</v>
      </c>
      <c r="T1010" s="6">
        <v>0</v>
      </c>
    </row>
    <row r="1011" spans="2:20" ht="76.5" outlineLevel="1">
      <c r="B1011" s="6">
        <v>995</v>
      </c>
      <c r="C1011" s="36" t="s">
        <v>714</v>
      </c>
      <c r="D1011" s="43" t="s">
        <v>601</v>
      </c>
      <c r="E1011" s="12" t="s">
        <v>502</v>
      </c>
      <c r="F1011" s="70" t="s">
        <v>2045</v>
      </c>
      <c r="G1011" s="70" t="s">
        <v>503</v>
      </c>
      <c r="H1011" s="70" t="s">
        <v>2046</v>
      </c>
      <c r="I1011" s="70" t="s">
        <v>504</v>
      </c>
      <c r="J1011" s="70" t="s">
        <v>2047</v>
      </c>
      <c r="K1011" s="70" t="s">
        <v>286</v>
      </c>
      <c r="L1011" s="70" t="s">
        <v>595</v>
      </c>
      <c r="M1011" s="12" t="s">
        <v>918</v>
      </c>
      <c r="N1011" s="26">
        <v>1</v>
      </c>
      <c r="O1011" s="57">
        <v>960000</v>
      </c>
      <c r="P1011" s="62">
        <f t="shared" si="16"/>
        <v>960000</v>
      </c>
      <c r="Q1011" s="6" t="s">
        <v>397</v>
      </c>
      <c r="R1011" s="6" t="s">
        <v>770</v>
      </c>
      <c r="S1011" s="38" t="s">
        <v>2038</v>
      </c>
      <c r="T1011" s="26">
        <v>0</v>
      </c>
    </row>
    <row r="1012" spans="2:20" ht="76.5" outlineLevel="1">
      <c r="B1012" s="6">
        <v>996</v>
      </c>
      <c r="C1012" s="16" t="s">
        <v>714</v>
      </c>
      <c r="D1012" s="6" t="s">
        <v>601</v>
      </c>
      <c r="E1012" s="12" t="s">
        <v>502</v>
      </c>
      <c r="F1012" s="70" t="s">
        <v>2045</v>
      </c>
      <c r="G1012" s="70" t="s">
        <v>503</v>
      </c>
      <c r="H1012" s="70" t="s">
        <v>2046</v>
      </c>
      <c r="I1012" s="70" t="s">
        <v>504</v>
      </c>
      <c r="J1012" s="70" t="s">
        <v>2047</v>
      </c>
      <c r="K1012" s="70" t="s">
        <v>286</v>
      </c>
      <c r="L1012" s="70" t="s">
        <v>595</v>
      </c>
      <c r="M1012" s="12" t="s">
        <v>918</v>
      </c>
      <c r="N1012" s="26">
        <v>1</v>
      </c>
      <c r="O1012" s="57">
        <v>2321429</v>
      </c>
      <c r="P1012" s="62">
        <f t="shared" si="16"/>
        <v>2321429</v>
      </c>
      <c r="Q1012" s="6" t="s">
        <v>397</v>
      </c>
      <c r="R1012" s="6" t="s">
        <v>770</v>
      </c>
      <c r="S1012" s="38" t="s">
        <v>1025</v>
      </c>
      <c r="T1012" s="6">
        <v>0</v>
      </c>
    </row>
    <row r="1013" spans="2:20" ht="76.5" outlineLevel="1">
      <c r="B1013" s="6">
        <v>997</v>
      </c>
      <c r="C1013" s="16" t="s">
        <v>714</v>
      </c>
      <c r="D1013" s="6" t="s">
        <v>601</v>
      </c>
      <c r="E1013" s="12" t="s">
        <v>502</v>
      </c>
      <c r="F1013" s="70" t="s">
        <v>2045</v>
      </c>
      <c r="G1013" s="70" t="s">
        <v>503</v>
      </c>
      <c r="H1013" s="70" t="s">
        <v>2046</v>
      </c>
      <c r="I1013" s="70" t="s">
        <v>504</v>
      </c>
      <c r="J1013" s="70" t="s">
        <v>2047</v>
      </c>
      <c r="K1013" s="70" t="s">
        <v>286</v>
      </c>
      <c r="L1013" s="70" t="s">
        <v>595</v>
      </c>
      <c r="M1013" s="12" t="s">
        <v>918</v>
      </c>
      <c r="N1013" s="26">
        <v>1</v>
      </c>
      <c r="O1013" s="57">
        <v>750000</v>
      </c>
      <c r="P1013" s="62">
        <f t="shared" si="16"/>
        <v>750000</v>
      </c>
      <c r="Q1013" s="6" t="s">
        <v>519</v>
      </c>
      <c r="R1013" s="6" t="s">
        <v>770</v>
      </c>
      <c r="S1013" s="38" t="s">
        <v>793</v>
      </c>
      <c r="T1013" s="6">
        <v>0</v>
      </c>
    </row>
    <row r="1014" spans="2:20" ht="76.5" outlineLevel="1">
      <c r="B1014" s="6">
        <v>998</v>
      </c>
      <c r="C1014" s="16" t="s">
        <v>714</v>
      </c>
      <c r="D1014" s="6" t="s">
        <v>601</v>
      </c>
      <c r="E1014" s="12" t="s">
        <v>502</v>
      </c>
      <c r="F1014" s="70" t="s">
        <v>2045</v>
      </c>
      <c r="G1014" s="70" t="s">
        <v>503</v>
      </c>
      <c r="H1014" s="70" t="s">
        <v>2046</v>
      </c>
      <c r="I1014" s="70" t="s">
        <v>504</v>
      </c>
      <c r="J1014" s="70" t="s">
        <v>2047</v>
      </c>
      <c r="K1014" s="70" t="s">
        <v>286</v>
      </c>
      <c r="L1014" s="70" t="s">
        <v>595</v>
      </c>
      <c r="M1014" s="12" t="s">
        <v>918</v>
      </c>
      <c r="N1014" s="26">
        <v>1</v>
      </c>
      <c r="O1014" s="57">
        <v>960000</v>
      </c>
      <c r="P1014" s="62">
        <f t="shared" si="16"/>
        <v>960000</v>
      </c>
      <c r="Q1014" s="6" t="s">
        <v>397</v>
      </c>
      <c r="R1014" s="6" t="s">
        <v>770</v>
      </c>
      <c r="S1014" s="38" t="s">
        <v>637</v>
      </c>
      <c r="T1014" s="26">
        <v>0</v>
      </c>
    </row>
    <row r="1015" spans="2:20" ht="76.5" outlineLevel="1">
      <c r="B1015" s="6">
        <v>999</v>
      </c>
      <c r="C1015" s="16" t="s">
        <v>714</v>
      </c>
      <c r="D1015" s="6" t="s">
        <v>601</v>
      </c>
      <c r="E1015" s="12" t="s">
        <v>502</v>
      </c>
      <c r="F1015" s="70" t="s">
        <v>2045</v>
      </c>
      <c r="G1015" s="70" t="s">
        <v>503</v>
      </c>
      <c r="H1015" s="70" t="s">
        <v>2046</v>
      </c>
      <c r="I1015" s="70" t="s">
        <v>504</v>
      </c>
      <c r="J1015" s="70" t="s">
        <v>2047</v>
      </c>
      <c r="K1015" s="70" t="s">
        <v>286</v>
      </c>
      <c r="L1015" s="70" t="s">
        <v>595</v>
      </c>
      <c r="M1015" s="12" t="s">
        <v>918</v>
      </c>
      <c r="N1015" s="26">
        <v>1</v>
      </c>
      <c r="O1015" s="57">
        <v>960000</v>
      </c>
      <c r="P1015" s="62">
        <f t="shared" si="16"/>
        <v>960000</v>
      </c>
      <c r="Q1015" s="6" t="s">
        <v>397</v>
      </c>
      <c r="R1015" s="6" t="s">
        <v>770</v>
      </c>
      <c r="S1015" s="38">
        <v>311000000</v>
      </c>
      <c r="T1015" s="26">
        <v>0</v>
      </c>
    </row>
    <row r="1016" spans="2:20" ht="76.5" outlineLevel="1">
      <c r="B1016" s="6">
        <v>1000</v>
      </c>
      <c r="C1016" s="16" t="s">
        <v>714</v>
      </c>
      <c r="D1016" s="6" t="s">
        <v>601</v>
      </c>
      <c r="E1016" s="12" t="s">
        <v>502</v>
      </c>
      <c r="F1016" s="70" t="s">
        <v>2045</v>
      </c>
      <c r="G1016" s="70" t="s">
        <v>503</v>
      </c>
      <c r="H1016" s="70" t="s">
        <v>2046</v>
      </c>
      <c r="I1016" s="70" t="s">
        <v>504</v>
      </c>
      <c r="J1016" s="70" t="s">
        <v>2047</v>
      </c>
      <c r="K1016" s="70" t="s">
        <v>286</v>
      </c>
      <c r="L1016" s="70" t="s">
        <v>595</v>
      </c>
      <c r="M1016" s="12" t="s">
        <v>918</v>
      </c>
      <c r="N1016" s="26">
        <v>1</v>
      </c>
      <c r="O1016" s="57">
        <v>960000</v>
      </c>
      <c r="P1016" s="62">
        <f t="shared" si="16"/>
        <v>960000</v>
      </c>
      <c r="Q1016" s="6" t="s">
        <v>397</v>
      </c>
      <c r="R1016" s="6" t="s">
        <v>770</v>
      </c>
      <c r="S1016" s="38">
        <v>431000000</v>
      </c>
      <c r="T1016" s="26">
        <v>0</v>
      </c>
    </row>
    <row r="1017" spans="2:20" s="39" customFormat="1" ht="89.25" customHeight="1">
      <c r="B1017" s="6">
        <v>1001</v>
      </c>
      <c r="C1017" s="16" t="s">
        <v>714</v>
      </c>
      <c r="D1017" s="6" t="s">
        <v>601</v>
      </c>
      <c r="E1017" s="12" t="s">
        <v>502</v>
      </c>
      <c r="F1017" s="70" t="s">
        <v>2045</v>
      </c>
      <c r="G1017" s="70" t="s">
        <v>503</v>
      </c>
      <c r="H1017" s="70" t="s">
        <v>2046</v>
      </c>
      <c r="I1017" s="70" t="s">
        <v>504</v>
      </c>
      <c r="J1017" s="70" t="s">
        <v>2047</v>
      </c>
      <c r="K1017" s="70" t="s">
        <v>286</v>
      </c>
      <c r="L1017" s="70" t="s">
        <v>595</v>
      </c>
      <c r="M1017" s="12" t="s">
        <v>918</v>
      </c>
      <c r="N1017" s="26">
        <v>1</v>
      </c>
      <c r="O1017" s="57">
        <v>960000</v>
      </c>
      <c r="P1017" s="62">
        <f t="shared" si="16"/>
        <v>960000</v>
      </c>
      <c r="Q1017" s="6" t="s">
        <v>397</v>
      </c>
      <c r="R1017" s="6" t="s">
        <v>770</v>
      </c>
      <c r="S1017" s="38">
        <v>551000000</v>
      </c>
      <c r="T1017" s="26">
        <v>0</v>
      </c>
    </row>
    <row r="1018" spans="2:20" ht="76.5" outlineLevel="1">
      <c r="B1018" s="6">
        <v>1002</v>
      </c>
      <c r="C1018" s="16" t="s">
        <v>714</v>
      </c>
      <c r="D1018" s="6" t="s">
        <v>601</v>
      </c>
      <c r="E1018" s="12" t="s">
        <v>502</v>
      </c>
      <c r="F1018" s="70" t="s">
        <v>2045</v>
      </c>
      <c r="G1018" s="70" t="s">
        <v>503</v>
      </c>
      <c r="H1018" s="70" t="s">
        <v>2046</v>
      </c>
      <c r="I1018" s="70" t="s">
        <v>504</v>
      </c>
      <c r="J1018" s="70" t="s">
        <v>2047</v>
      </c>
      <c r="K1018" s="70" t="s">
        <v>286</v>
      </c>
      <c r="L1018" s="70" t="s">
        <v>595</v>
      </c>
      <c r="M1018" s="12" t="s">
        <v>918</v>
      </c>
      <c r="N1018" s="26">
        <v>1</v>
      </c>
      <c r="O1018" s="57">
        <v>960000</v>
      </c>
      <c r="P1018" s="62">
        <f t="shared" si="16"/>
        <v>960000</v>
      </c>
      <c r="Q1018" s="6" t="s">
        <v>397</v>
      </c>
      <c r="R1018" s="6" t="s">
        <v>770</v>
      </c>
      <c r="S1018" s="38" t="s">
        <v>2037</v>
      </c>
      <c r="T1018" s="6">
        <v>0</v>
      </c>
    </row>
    <row r="1019" spans="2:20" ht="63.75" outlineLevel="1">
      <c r="B1019" s="6">
        <v>1003</v>
      </c>
      <c r="C1019" s="16" t="s">
        <v>714</v>
      </c>
      <c r="D1019" s="6" t="s">
        <v>601</v>
      </c>
      <c r="E1019" s="6" t="s">
        <v>861</v>
      </c>
      <c r="F1019" s="70" t="s">
        <v>2277</v>
      </c>
      <c r="G1019" s="70" t="s">
        <v>34</v>
      </c>
      <c r="H1019" s="70" t="s">
        <v>862</v>
      </c>
      <c r="I1019" s="70" t="s">
        <v>863</v>
      </c>
      <c r="J1019" s="70" t="s">
        <v>2277</v>
      </c>
      <c r="K1019" s="70" t="s">
        <v>287</v>
      </c>
      <c r="L1019" s="70" t="s">
        <v>595</v>
      </c>
      <c r="M1019" s="12" t="s">
        <v>918</v>
      </c>
      <c r="N1019" s="26">
        <v>1</v>
      </c>
      <c r="O1019" s="57">
        <v>89286</v>
      </c>
      <c r="P1019" s="62">
        <f t="shared" si="16"/>
        <v>89286</v>
      </c>
      <c r="Q1019" s="6" t="s">
        <v>505</v>
      </c>
      <c r="R1019" s="6" t="s">
        <v>770</v>
      </c>
      <c r="S1019" s="38" t="s">
        <v>2038</v>
      </c>
      <c r="T1019" s="26">
        <v>0</v>
      </c>
    </row>
    <row r="1020" spans="2:20" ht="63.75" outlineLevel="1">
      <c r="B1020" s="6">
        <v>1004</v>
      </c>
      <c r="C1020" s="16" t="s">
        <v>714</v>
      </c>
      <c r="D1020" s="6" t="s">
        <v>601</v>
      </c>
      <c r="E1020" s="6" t="s">
        <v>861</v>
      </c>
      <c r="F1020" s="70" t="s">
        <v>2277</v>
      </c>
      <c r="G1020" s="70" t="s">
        <v>34</v>
      </c>
      <c r="H1020" s="70" t="s">
        <v>862</v>
      </c>
      <c r="I1020" s="70" t="s">
        <v>863</v>
      </c>
      <c r="J1020" s="70" t="s">
        <v>2277</v>
      </c>
      <c r="K1020" s="70" t="s">
        <v>287</v>
      </c>
      <c r="L1020" s="70" t="s">
        <v>595</v>
      </c>
      <c r="M1020" s="12" t="s">
        <v>918</v>
      </c>
      <c r="N1020" s="26">
        <v>1</v>
      </c>
      <c r="O1020" s="57">
        <v>89286</v>
      </c>
      <c r="P1020" s="62">
        <f t="shared" si="16"/>
        <v>89286</v>
      </c>
      <c r="Q1020" s="6" t="s">
        <v>505</v>
      </c>
      <c r="R1020" s="6" t="s">
        <v>770</v>
      </c>
      <c r="S1020" s="38" t="s">
        <v>1025</v>
      </c>
      <c r="T1020" s="6">
        <v>0</v>
      </c>
    </row>
    <row r="1021" spans="2:20" ht="63.75" outlineLevel="1">
      <c r="B1021" s="6">
        <v>1005</v>
      </c>
      <c r="C1021" s="16" t="s">
        <v>714</v>
      </c>
      <c r="D1021" s="6" t="s">
        <v>601</v>
      </c>
      <c r="E1021" s="6" t="s">
        <v>861</v>
      </c>
      <c r="F1021" s="70" t="s">
        <v>2277</v>
      </c>
      <c r="G1021" s="70" t="s">
        <v>34</v>
      </c>
      <c r="H1021" s="70" t="s">
        <v>862</v>
      </c>
      <c r="I1021" s="70" t="s">
        <v>863</v>
      </c>
      <c r="J1021" s="70" t="s">
        <v>2277</v>
      </c>
      <c r="K1021" s="70" t="s">
        <v>287</v>
      </c>
      <c r="L1021" s="70" t="s">
        <v>595</v>
      </c>
      <c r="M1021" s="12" t="s">
        <v>918</v>
      </c>
      <c r="N1021" s="26">
        <v>1</v>
      </c>
      <c r="O1021" s="57">
        <v>89286</v>
      </c>
      <c r="P1021" s="62">
        <f t="shared" si="16"/>
        <v>89286</v>
      </c>
      <c r="Q1021" s="6" t="s">
        <v>519</v>
      </c>
      <c r="R1021" s="6" t="s">
        <v>770</v>
      </c>
      <c r="S1021" s="38" t="s">
        <v>793</v>
      </c>
      <c r="T1021" s="6">
        <v>0</v>
      </c>
    </row>
    <row r="1022" spans="2:20" ht="63.75" outlineLevel="1">
      <c r="B1022" s="6">
        <v>1006</v>
      </c>
      <c r="C1022" s="16" t="s">
        <v>714</v>
      </c>
      <c r="D1022" s="6" t="s">
        <v>601</v>
      </c>
      <c r="E1022" s="6" t="s">
        <v>861</v>
      </c>
      <c r="F1022" s="70" t="s">
        <v>2277</v>
      </c>
      <c r="G1022" s="70" t="s">
        <v>34</v>
      </c>
      <c r="H1022" s="70" t="s">
        <v>862</v>
      </c>
      <c r="I1022" s="70" t="s">
        <v>863</v>
      </c>
      <c r="J1022" s="70" t="s">
        <v>2277</v>
      </c>
      <c r="K1022" s="70" t="s">
        <v>287</v>
      </c>
      <c r="L1022" s="70" t="s">
        <v>595</v>
      </c>
      <c r="M1022" s="12" t="s">
        <v>918</v>
      </c>
      <c r="N1022" s="26">
        <v>1</v>
      </c>
      <c r="O1022" s="57">
        <v>89286</v>
      </c>
      <c r="P1022" s="62">
        <f t="shared" si="16"/>
        <v>89286</v>
      </c>
      <c r="Q1022" s="6" t="s">
        <v>505</v>
      </c>
      <c r="R1022" s="6" t="s">
        <v>770</v>
      </c>
      <c r="S1022" s="38" t="s">
        <v>637</v>
      </c>
      <c r="T1022" s="26">
        <v>0</v>
      </c>
    </row>
    <row r="1023" spans="2:20" ht="63.75" outlineLevel="1">
      <c r="B1023" s="6">
        <v>1007</v>
      </c>
      <c r="C1023" s="16" t="s">
        <v>714</v>
      </c>
      <c r="D1023" s="6" t="s">
        <v>601</v>
      </c>
      <c r="E1023" s="6" t="s">
        <v>861</v>
      </c>
      <c r="F1023" s="70" t="s">
        <v>2277</v>
      </c>
      <c r="G1023" s="70" t="s">
        <v>34</v>
      </c>
      <c r="H1023" s="70" t="s">
        <v>862</v>
      </c>
      <c r="I1023" s="70" t="s">
        <v>863</v>
      </c>
      <c r="J1023" s="70" t="s">
        <v>2277</v>
      </c>
      <c r="K1023" s="70" t="s">
        <v>287</v>
      </c>
      <c r="L1023" s="70" t="s">
        <v>595</v>
      </c>
      <c r="M1023" s="12" t="s">
        <v>918</v>
      </c>
      <c r="N1023" s="26">
        <v>1</v>
      </c>
      <c r="O1023" s="57">
        <v>89286</v>
      </c>
      <c r="P1023" s="62">
        <f t="shared" si="16"/>
        <v>89286</v>
      </c>
      <c r="Q1023" s="6" t="s">
        <v>505</v>
      </c>
      <c r="R1023" s="6" t="s">
        <v>770</v>
      </c>
      <c r="S1023" s="38">
        <v>311000000</v>
      </c>
      <c r="T1023" s="26">
        <v>0</v>
      </c>
    </row>
    <row r="1024" spans="2:20" ht="63.75" outlineLevel="1">
      <c r="B1024" s="6">
        <v>1008</v>
      </c>
      <c r="C1024" s="16" t="s">
        <v>714</v>
      </c>
      <c r="D1024" s="6" t="s">
        <v>601</v>
      </c>
      <c r="E1024" s="6" t="s">
        <v>861</v>
      </c>
      <c r="F1024" s="70" t="s">
        <v>2277</v>
      </c>
      <c r="G1024" s="70" t="s">
        <v>34</v>
      </c>
      <c r="H1024" s="70" t="s">
        <v>862</v>
      </c>
      <c r="I1024" s="70" t="s">
        <v>863</v>
      </c>
      <c r="J1024" s="70" t="s">
        <v>2277</v>
      </c>
      <c r="K1024" s="70" t="s">
        <v>287</v>
      </c>
      <c r="L1024" s="70" t="s">
        <v>595</v>
      </c>
      <c r="M1024" s="12" t="s">
        <v>918</v>
      </c>
      <c r="N1024" s="26">
        <v>1</v>
      </c>
      <c r="O1024" s="57">
        <v>89286</v>
      </c>
      <c r="P1024" s="62">
        <f t="shared" si="16"/>
        <v>89286</v>
      </c>
      <c r="Q1024" s="6" t="s">
        <v>505</v>
      </c>
      <c r="R1024" s="6" t="s">
        <v>770</v>
      </c>
      <c r="S1024" s="38">
        <v>431000000</v>
      </c>
      <c r="T1024" s="26">
        <v>0</v>
      </c>
    </row>
    <row r="1025" spans="2:20" s="39" customFormat="1" ht="63.75">
      <c r="B1025" s="6">
        <v>1009</v>
      </c>
      <c r="C1025" s="16" t="s">
        <v>714</v>
      </c>
      <c r="D1025" s="6" t="s">
        <v>601</v>
      </c>
      <c r="E1025" s="6" t="s">
        <v>861</v>
      </c>
      <c r="F1025" s="70" t="s">
        <v>2277</v>
      </c>
      <c r="G1025" s="70" t="s">
        <v>34</v>
      </c>
      <c r="H1025" s="70" t="s">
        <v>862</v>
      </c>
      <c r="I1025" s="70" t="s">
        <v>863</v>
      </c>
      <c r="J1025" s="70" t="s">
        <v>2277</v>
      </c>
      <c r="K1025" s="70" t="s">
        <v>287</v>
      </c>
      <c r="L1025" s="70" t="s">
        <v>595</v>
      </c>
      <c r="M1025" s="12" t="s">
        <v>918</v>
      </c>
      <c r="N1025" s="26">
        <v>1</v>
      </c>
      <c r="O1025" s="57">
        <v>133929</v>
      </c>
      <c r="P1025" s="62">
        <f t="shared" si="16"/>
        <v>133929</v>
      </c>
      <c r="Q1025" s="6" t="s">
        <v>505</v>
      </c>
      <c r="R1025" s="6" t="s">
        <v>770</v>
      </c>
      <c r="S1025" s="38">
        <v>551000000</v>
      </c>
      <c r="T1025" s="26">
        <v>30</v>
      </c>
    </row>
    <row r="1026" spans="2:20" ht="63.75" outlineLevel="1">
      <c r="B1026" s="6">
        <v>1010</v>
      </c>
      <c r="C1026" s="16" t="s">
        <v>714</v>
      </c>
      <c r="D1026" s="6" t="s">
        <v>601</v>
      </c>
      <c r="E1026" s="6" t="s">
        <v>861</v>
      </c>
      <c r="F1026" s="70" t="s">
        <v>2277</v>
      </c>
      <c r="G1026" s="70" t="s">
        <v>34</v>
      </c>
      <c r="H1026" s="70" t="s">
        <v>862</v>
      </c>
      <c r="I1026" s="70" t="s">
        <v>863</v>
      </c>
      <c r="J1026" s="70" t="s">
        <v>2277</v>
      </c>
      <c r="K1026" s="70" t="s">
        <v>287</v>
      </c>
      <c r="L1026" s="70" t="s">
        <v>595</v>
      </c>
      <c r="M1026" s="12" t="s">
        <v>918</v>
      </c>
      <c r="N1026" s="26">
        <v>1</v>
      </c>
      <c r="O1026" s="57">
        <v>89286</v>
      </c>
      <c r="P1026" s="62">
        <f t="shared" si="16"/>
        <v>89286</v>
      </c>
      <c r="Q1026" s="6" t="s">
        <v>616</v>
      </c>
      <c r="R1026" s="6" t="s">
        <v>770</v>
      </c>
      <c r="S1026" s="38" t="s">
        <v>2037</v>
      </c>
      <c r="T1026" s="6">
        <v>30</v>
      </c>
    </row>
    <row r="1027" spans="2:20" ht="51" outlineLevel="1">
      <c r="B1027" s="6">
        <v>1011</v>
      </c>
      <c r="C1027" s="36" t="s">
        <v>714</v>
      </c>
      <c r="D1027" s="43" t="s">
        <v>601</v>
      </c>
      <c r="E1027" s="12" t="s">
        <v>487</v>
      </c>
      <c r="F1027" s="70" t="s">
        <v>2196</v>
      </c>
      <c r="G1027" s="70" t="s">
        <v>488</v>
      </c>
      <c r="H1027" s="70" t="s">
        <v>2196</v>
      </c>
      <c r="I1027" s="70" t="s">
        <v>917</v>
      </c>
      <c r="J1027" s="70" t="s">
        <v>2197</v>
      </c>
      <c r="K1027" s="70" t="s">
        <v>288</v>
      </c>
      <c r="L1027" s="70" t="s">
        <v>595</v>
      </c>
      <c r="M1027" s="12" t="s">
        <v>918</v>
      </c>
      <c r="N1027" s="26">
        <v>1</v>
      </c>
      <c r="O1027" s="57">
        <v>44643</v>
      </c>
      <c r="P1027" s="62">
        <f t="shared" si="16"/>
        <v>44643</v>
      </c>
      <c r="Q1027" s="6" t="s">
        <v>616</v>
      </c>
      <c r="R1027" s="6" t="s">
        <v>770</v>
      </c>
      <c r="S1027" s="38" t="s">
        <v>2038</v>
      </c>
      <c r="T1027" s="26">
        <v>0</v>
      </c>
    </row>
    <row r="1028" spans="2:20" ht="51" outlineLevel="1">
      <c r="B1028" s="6">
        <v>1012</v>
      </c>
      <c r="C1028" s="36" t="s">
        <v>714</v>
      </c>
      <c r="D1028" s="43" t="s">
        <v>601</v>
      </c>
      <c r="E1028" s="12" t="s">
        <v>487</v>
      </c>
      <c r="F1028" s="70" t="s">
        <v>2196</v>
      </c>
      <c r="G1028" s="70" t="s">
        <v>488</v>
      </c>
      <c r="H1028" s="70" t="s">
        <v>2196</v>
      </c>
      <c r="I1028" s="70" t="s">
        <v>917</v>
      </c>
      <c r="J1028" s="70" t="s">
        <v>2197</v>
      </c>
      <c r="K1028" s="70" t="s">
        <v>288</v>
      </c>
      <c r="L1028" s="70" t="s">
        <v>595</v>
      </c>
      <c r="M1028" s="12" t="s">
        <v>918</v>
      </c>
      <c r="N1028" s="26">
        <v>1</v>
      </c>
      <c r="O1028" s="57">
        <v>44643</v>
      </c>
      <c r="P1028" s="62">
        <f t="shared" si="16"/>
        <v>44643</v>
      </c>
      <c r="Q1028" s="6" t="s">
        <v>505</v>
      </c>
      <c r="R1028" s="6" t="s">
        <v>770</v>
      </c>
      <c r="S1028" s="38" t="s">
        <v>1025</v>
      </c>
      <c r="T1028" s="6">
        <v>0</v>
      </c>
    </row>
    <row r="1029" spans="2:20" ht="51" outlineLevel="1">
      <c r="B1029" s="6">
        <v>1013</v>
      </c>
      <c r="C1029" s="36" t="s">
        <v>714</v>
      </c>
      <c r="D1029" s="43" t="s">
        <v>601</v>
      </c>
      <c r="E1029" s="12" t="s">
        <v>487</v>
      </c>
      <c r="F1029" s="70" t="s">
        <v>2196</v>
      </c>
      <c r="G1029" s="70" t="s">
        <v>488</v>
      </c>
      <c r="H1029" s="70" t="s">
        <v>2196</v>
      </c>
      <c r="I1029" s="70" t="s">
        <v>917</v>
      </c>
      <c r="J1029" s="70" t="s">
        <v>2197</v>
      </c>
      <c r="K1029" s="70" t="s">
        <v>288</v>
      </c>
      <c r="L1029" s="70" t="s">
        <v>595</v>
      </c>
      <c r="M1029" s="12" t="s">
        <v>918</v>
      </c>
      <c r="N1029" s="26">
        <v>1</v>
      </c>
      <c r="O1029" s="57">
        <v>44643</v>
      </c>
      <c r="P1029" s="62">
        <f t="shared" si="16"/>
        <v>44643</v>
      </c>
      <c r="Q1029" s="6" t="s">
        <v>519</v>
      </c>
      <c r="R1029" s="6" t="s">
        <v>770</v>
      </c>
      <c r="S1029" s="38" t="s">
        <v>793</v>
      </c>
      <c r="T1029" s="6">
        <v>0</v>
      </c>
    </row>
    <row r="1030" spans="2:20" ht="51" outlineLevel="1">
      <c r="B1030" s="6">
        <v>1014</v>
      </c>
      <c r="C1030" s="36" t="s">
        <v>714</v>
      </c>
      <c r="D1030" s="43" t="s">
        <v>601</v>
      </c>
      <c r="E1030" s="12" t="s">
        <v>487</v>
      </c>
      <c r="F1030" s="70" t="s">
        <v>2196</v>
      </c>
      <c r="G1030" s="70" t="s">
        <v>488</v>
      </c>
      <c r="H1030" s="70" t="s">
        <v>2196</v>
      </c>
      <c r="I1030" s="70" t="s">
        <v>917</v>
      </c>
      <c r="J1030" s="70" t="s">
        <v>2197</v>
      </c>
      <c r="K1030" s="70" t="s">
        <v>288</v>
      </c>
      <c r="L1030" s="70" t="s">
        <v>595</v>
      </c>
      <c r="M1030" s="12" t="s">
        <v>918</v>
      </c>
      <c r="N1030" s="26">
        <v>1</v>
      </c>
      <c r="O1030" s="57">
        <v>44643</v>
      </c>
      <c r="P1030" s="62">
        <f t="shared" si="16"/>
        <v>44643</v>
      </c>
      <c r="Q1030" s="6" t="s">
        <v>505</v>
      </c>
      <c r="R1030" s="6" t="s">
        <v>770</v>
      </c>
      <c r="S1030" s="38" t="s">
        <v>637</v>
      </c>
      <c r="T1030" s="26">
        <v>0</v>
      </c>
    </row>
    <row r="1031" spans="2:20" ht="51" outlineLevel="1">
      <c r="B1031" s="6">
        <v>1015</v>
      </c>
      <c r="C1031" s="36" t="s">
        <v>714</v>
      </c>
      <c r="D1031" s="43" t="s">
        <v>601</v>
      </c>
      <c r="E1031" s="12" t="s">
        <v>487</v>
      </c>
      <c r="F1031" s="70" t="s">
        <v>2196</v>
      </c>
      <c r="G1031" s="70" t="s">
        <v>488</v>
      </c>
      <c r="H1031" s="70" t="s">
        <v>2196</v>
      </c>
      <c r="I1031" s="70" t="s">
        <v>917</v>
      </c>
      <c r="J1031" s="70" t="s">
        <v>2197</v>
      </c>
      <c r="K1031" s="70" t="s">
        <v>288</v>
      </c>
      <c r="L1031" s="70" t="s">
        <v>595</v>
      </c>
      <c r="M1031" s="12" t="s">
        <v>918</v>
      </c>
      <c r="N1031" s="26">
        <v>1</v>
      </c>
      <c r="O1031" s="57">
        <v>44643</v>
      </c>
      <c r="P1031" s="62">
        <f t="shared" si="16"/>
        <v>44643</v>
      </c>
      <c r="Q1031" s="6" t="s">
        <v>505</v>
      </c>
      <c r="R1031" s="6" t="s">
        <v>770</v>
      </c>
      <c r="S1031" s="38">
        <v>311000000</v>
      </c>
      <c r="T1031" s="26">
        <v>0</v>
      </c>
    </row>
    <row r="1032" spans="2:20" ht="51" outlineLevel="1">
      <c r="B1032" s="6">
        <v>1016</v>
      </c>
      <c r="C1032" s="36" t="s">
        <v>714</v>
      </c>
      <c r="D1032" s="43" t="s">
        <v>601</v>
      </c>
      <c r="E1032" s="12" t="s">
        <v>487</v>
      </c>
      <c r="F1032" s="70" t="s">
        <v>2196</v>
      </c>
      <c r="G1032" s="70" t="s">
        <v>488</v>
      </c>
      <c r="H1032" s="70" t="s">
        <v>2196</v>
      </c>
      <c r="I1032" s="70" t="s">
        <v>917</v>
      </c>
      <c r="J1032" s="70" t="s">
        <v>2197</v>
      </c>
      <c r="K1032" s="70" t="s">
        <v>288</v>
      </c>
      <c r="L1032" s="70" t="s">
        <v>595</v>
      </c>
      <c r="M1032" s="12" t="s">
        <v>918</v>
      </c>
      <c r="N1032" s="26">
        <v>1</v>
      </c>
      <c r="O1032" s="57">
        <v>44643</v>
      </c>
      <c r="P1032" s="62">
        <f t="shared" si="16"/>
        <v>44643</v>
      </c>
      <c r="Q1032" s="6" t="s">
        <v>506</v>
      </c>
      <c r="R1032" s="6" t="s">
        <v>770</v>
      </c>
      <c r="S1032" s="38">
        <v>431000000</v>
      </c>
      <c r="T1032" s="26">
        <v>0</v>
      </c>
    </row>
    <row r="1033" spans="2:20" ht="51" outlineLevel="1">
      <c r="B1033" s="6">
        <v>1017</v>
      </c>
      <c r="C1033" s="36" t="s">
        <v>714</v>
      </c>
      <c r="D1033" s="43" t="s">
        <v>601</v>
      </c>
      <c r="E1033" s="12" t="s">
        <v>487</v>
      </c>
      <c r="F1033" s="70" t="s">
        <v>2196</v>
      </c>
      <c r="G1033" s="70" t="s">
        <v>488</v>
      </c>
      <c r="H1033" s="70" t="s">
        <v>2196</v>
      </c>
      <c r="I1033" s="70" t="s">
        <v>917</v>
      </c>
      <c r="J1033" s="70" t="s">
        <v>2197</v>
      </c>
      <c r="K1033" s="70" t="s">
        <v>288</v>
      </c>
      <c r="L1033" s="70" t="s">
        <v>595</v>
      </c>
      <c r="M1033" s="12" t="s">
        <v>918</v>
      </c>
      <c r="N1033" s="26">
        <v>1</v>
      </c>
      <c r="O1033" s="57">
        <v>44643</v>
      </c>
      <c r="P1033" s="62">
        <f t="shared" si="16"/>
        <v>44643</v>
      </c>
      <c r="Q1033" s="6" t="s">
        <v>616</v>
      </c>
      <c r="R1033" s="6" t="s">
        <v>770</v>
      </c>
      <c r="S1033" s="38">
        <v>311000000</v>
      </c>
      <c r="T1033" s="26">
        <v>0</v>
      </c>
    </row>
    <row r="1034" spans="2:20" ht="51" outlineLevel="1">
      <c r="B1034" s="6">
        <v>1018</v>
      </c>
      <c r="C1034" s="36" t="s">
        <v>714</v>
      </c>
      <c r="D1034" s="43" t="s">
        <v>601</v>
      </c>
      <c r="E1034" s="12" t="s">
        <v>487</v>
      </c>
      <c r="F1034" s="70" t="s">
        <v>2196</v>
      </c>
      <c r="G1034" s="70" t="s">
        <v>488</v>
      </c>
      <c r="H1034" s="70" t="s">
        <v>2196</v>
      </c>
      <c r="I1034" s="70" t="s">
        <v>917</v>
      </c>
      <c r="J1034" s="70" t="s">
        <v>2197</v>
      </c>
      <c r="K1034" s="70" t="s">
        <v>288</v>
      </c>
      <c r="L1034" s="70" t="s">
        <v>595</v>
      </c>
      <c r="M1034" s="12" t="s">
        <v>918</v>
      </c>
      <c r="N1034" s="26">
        <v>1</v>
      </c>
      <c r="O1034" s="57">
        <v>44643</v>
      </c>
      <c r="P1034" s="62">
        <f t="shared" si="16"/>
        <v>44643</v>
      </c>
      <c r="Q1034" s="6" t="s">
        <v>616</v>
      </c>
      <c r="R1034" s="6" t="s">
        <v>770</v>
      </c>
      <c r="S1034" s="38" t="s">
        <v>2037</v>
      </c>
      <c r="T1034" s="6">
        <v>30</v>
      </c>
    </row>
    <row r="1035" spans="2:20" ht="76.5" outlineLevel="1">
      <c r="B1035" s="6">
        <v>1019</v>
      </c>
      <c r="C1035" s="36" t="s">
        <v>714</v>
      </c>
      <c r="D1035" s="43" t="s">
        <v>601</v>
      </c>
      <c r="E1035" s="16" t="s">
        <v>864</v>
      </c>
      <c r="F1035" s="70" t="s">
        <v>865</v>
      </c>
      <c r="G1035" s="70" t="s">
        <v>701</v>
      </c>
      <c r="H1035" s="70" t="s">
        <v>866</v>
      </c>
      <c r="I1035" s="70" t="s">
        <v>867</v>
      </c>
      <c r="J1035" s="70" t="s">
        <v>2315</v>
      </c>
      <c r="K1035" s="70" t="s">
        <v>289</v>
      </c>
      <c r="L1035" s="70" t="s">
        <v>595</v>
      </c>
      <c r="M1035" s="12" t="s">
        <v>918</v>
      </c>
      <c r="N1035" s="26">
        <v>1</v>
      </c>
      <c r="O1035" s="57">
        <v>133929</v>
      </c>
      <c r="P1035" s="62">
        <f t="shared" si="16"/>
        <v>133929</v>
      </c>
      <c r="Q1035" s="6" t="s">
        <v>616</v>
      </c>
      <c r="R1035" s="6" t="s">
        <v>770</v>
      </c>
      <c r="S1035" s="38" t="s">
        <v>2038</v>
      </c>
      <c r="T1035" s="26">
        <v>0</v>
      </c>
    </row>
    <row r="1036" spans="2:20" ht="76.5" outlineLevel="1">
      <c r="B1036" s="6">
        <v>1020</v>
      </c>
      <c r="C1036" s="36" t="s">
        <v>714</v>
      </c>
      <c r="D1036" s="43" t="s">
        <v>601</v>
      </c>
      <c r="E1036" s="16" t="s">
        <v>864</v>
      </c>
      <c r="F1036" s="70" t="s">
        <v>865</v>
      </c>
      <c r="G1036" s="70" t="s">
        <v>701</v>
      </c>
      <c r="H1036" s="70" t="s">
        <v>866</v>
      </c>
      <c r="I1036" s="70" t="s">
        <v>867</v>
      </c>
      <c r="J1036" s="70" t="s">
        <v>2315</v>
      </c>
      <c r="K1036" s="70" t="s">
        <v>289</v>
      </c>
      <c r="L1036" s="70" t="s">
        <v>595</v>
      </c>
      <c r="M1036" s="12" t="s">
        <v>918</v>
      </c>
      <c r="N1036" s="26">
        <v>1</v>
      </c>
      <c r="O1036" s="57">
        <v>133929</v>
      </c>
      <c r="P1036" s="62">
        <f t="shared" si="16"/>
        <v>133929</v>
      </c>
      <c r="Q1036" s="6" t="s">
        <v>505</v>
      </c>
      <c r="R1036" s="6" t="s">
        <v>770</v>
      </c>
      <c r="S1036" s="38" t="s">
        <v>1025</v>
      </c>
      <c r="T1036" s="6">
        <v>0</v>
      </c>
    </row>
    <row r="1037" spans="2:20" ht="76.5" outlineLevel="1">
      <c r="B1037" s="6">
        <v>1021</v>
      </c>
      <c r="C1037" s="36" t="s">
        <v>714</v>
      </c>
      <c r="D1037" s="43" t="s">
        <v>601</v>
      </c>
      <c r="E1037" s="16" t="s">
        <v>864</v>
      </c>
      <c r="F1037" s="70" t="s">
        <v>865</v>
      </c>
      <c r="G1037" s="70" t="s">
        <v>701</v>
      </c>
      <c r="H1037" s="70" t="s">
        <v>866</v>
      </c>
      <c r="I1037" s="70" t="s">
        <v>867</v>
      </c>
      <c r="J1037" s="70" t="s">
        <v>2315</v>
      </c>
      <c r="K1037" s="70" t="s">
        <v>289</v>
      </c>
      <c r="L1037" s="70" t="s">
        <v>595</v>
      </c>
      <c r="M1037" s="12" t="s">
        <v>918</v>
      </c>
      <c r="N1037" s="26">
        <v>1</v>
      </c>
      <c r="O1037" s="57">
        <v>133929</v>
      </c>
      <c r="P1037" s="62">
        <f t="shared" si="16"/>
        <v>133929</v>
      </c>
      <c r="Q1037" s="6" t="s">
        <v>616</v>
      </c>
      <c r="R1037" s="6" t="s">
        <v>770</v>
      </c>
      <c r="S1037" s="38" t="s">
        <v>793</v>
      </c>
      <c r="T1037" s="6">
        <v>0</v>
      </c>
    </row>
    <row r="1038" spans="2:20" ht="76.5" outlineLevel="1">
      <c r="B1038" s="6">
        <v>1022</v>
      </c>
      <c r="C1038" s="36" t="s">
        <v>714</v>
      </c>
      <c r="D1038" s="43" t="s">
        <v>601</v>
      </c>
      <c r="E1038" s="16" t="s">
        <v>864</v>
      </c>
      <c r="F1038" s="70" t="s">
        <v>865</v>
      </c>
      <c r="G1038" s="70" t="s">
        <v>701</v>
      </c>
      <c r="H1038" s="70" t="s">
        <v>866</v>
      </c>
      <c r="I1038" s="70" t="s">
        <v>867</v>
      </c>
      <c r="J1038" s="70" t="s">
        <v>2315</v>
      </c>
      <c r="K1038" s="70" t="s">
        <v>289</v>
      </c>
      <c r="L1038" s="70" t="s">
        <v>595</v>
      </c>
      <c r="M1038" s="12" t="s">
        <v>918</v>
      </c>
      <c r="N1038" s="26">
        <v>1</v>
      </c>
      <c r="O1038" s="57">
        <v>133929</v>
      </c>
      <c r="P1038" s="62">
        <f t="shared" si="16"/>
        <v>133929</v>
      </c>
      <c r="Q1038" s="6" t="s">
        <v>505</v>
      </c>
      <c r="R1038" s="6" t="s">
        <v>506</v>
      </c>
      <c r="S1038" s="38" t="s">
        <v>637</v>
      </c>
      <c r="T1038" s="26">
        <v>0</v>
      </c>
    </row>
    <row r="1039" spans="2:20" ht="76.5" outlineLevel="1">
      <c r="B1039" s="6">
        <v>1023</v>
      </c>
      <c r="C1039" s="36" t="s">
        <v>714</v>
      </c>
      <c r="D1039" s="43" t="s">
        <v>601</v>
      </c>
      <c r="E1039" s="16" t="s">
        <v>864</v>
      </c>
      <c r="F1039" s="70" t="s">
        <v>865</v>
      </c>
      <c r="G1039" s="70" t="s">
        <v>701</v>
      </c>
      <c r="H1039" s="70" t="s">
        <v>866</v>
      </c>
      <c r="I1039" s="70" t="s">
        <v>867</v>
      </c>
      <c r="J1039" s="70" t="s">
        <v>2315</v>
      </c>
      <c r="K1039" s="70" t="s">
        <v>289</v>
      </c>
      <c r="L1039" s="70" t="s">
        <v>595</v>
      </c>
      <c r="M1039" s="12" t="s">
        <v>918</v>
      </c>
      <c r="N1039" s="26">
        <v>1</v>
      </c>
      <c r="O1039" s="57">
        <v>133929</v>
      </c>
      <c r="P1039" s="62">
        <f t="shared" si="16"/>
        <v>133929</v>
      </c>
      <c r="Q1039" s="6" t="s">
        <v>519</v>
      </c>
      <c r="R1039" s="6" t="s">
        <v>770</v>
      </c>
      <c r="S1039" s="38">
        <v>311000000</v>
      </c>
      <c r="T1039" s="26">
        <v>0</v>
      </c>
    </row>
    <row r="1040" spans="2:20" ht="76.5">
      <c r="B1040" s="6">
        <v>1024</v>
      </c>
      <c r="C1040" s="36" t="s">
        <v>714</v>
      </c>
      <c r="D1040" s="43" t="s">
        <v>601</v>
      </c>
      <c r="E1040" s="16" t="s">
        <v>864</v>
      </c>
      <c r="F1040" s="70" t="s">
        <v>865</v>
      </c>
      <c r="G1040" s="70" t="s">
        <v>701</v>
      </c>
      <c r="H1040" s="70" t="s">
        <v>866</v>
      </c>
      <c r="I1040" s="70" t="s">
        <v>867</v>
      </c>
      <c r="J1040" s="70" t="s">
        <v>2315</v>
      </c>
      <c r="K1040" s="70" t="s">
        <v>289</v>
      </c>
      <c r="L1040" s="70" t="s">
        <v>595</v>
      </c>
      <c r="M1040" s="12" t="s">
        <v>918</v>
      </c>
      <c r="N1040" s="26">
        <v>1</v>
      </c>
      <c r="O1040" s="57">
        <v>133929</v>
      </c>
      <c r="P1040" s="62">
        <f t="shared" si="16"/>
        <v>133929</v>
      </c>
      <c r="Q1040" s="6" t="s">
        <v>397</v>
      </c>
      <c r="R1040" s="6" t="s">
        <v>770</v>
      </c>
      <c r="S1040" s="38">
        <v>431000000</v>
      </c>
      <c r="T1040" s="26">
        <v>0</v>
      </c>
    </row>
    <row r="1041" spans="1:20" s="39" customFormat="1" ht="76.5">
      <c r="B1041" s="6">
        <v>1025</v>
      </c>
      <c r="C1041" s="36" t="s">
        <v>714</v>
      </c>
      <c r="D1041" s="43" t="s">
        <v>601</v>
      </c>
      <c r="E1041" s="16" t="s">
        <v>864</v>
      </c>
      <c r="F1041" s="70" t="s">
        <v>865</v>
      </c>
      <c r="G1041" s="70" t="s">
        <v>701</v>
      </c>
      <c r="H1041" s="70" t="s">
        <v>866</v>
      </c>
      <c r="I1041" s="70" t="s">
        <v>867</v>
      </c>
      <c r="J1041" s="70" t="s">
        <v>2315</v>
      </c>
      <c r="K1041" s="70" t="s">
        <v>289</v>
      </c>
      <c r="L1041" s="70" t="s">
        <v>595</v>
      </c>
      <c r="M1041" s="12" t="s">
        <v>918</v>
      </c>
      <c r="N1041" s="26">
        <v>1</v>
      </c>
      <c r="O1041" s="57">
        <f>P1041/N1041</f>
        <v>0</v>
      </c>
      <c r="P1041" s="62">
        <f>133929-133929</f>
        <v>0</v>
      </c>
      <c r="Q1041" s="6" t="s">
        <v>616</v>
      </c>
      <c r="R1041" s="6" t="s">
        <v>398</v>
      </c>
      <c r="S1041" s="38">
        <v>551000000</v>
      </c>
      <c r="T1041" s="26">
        <v>30</v>
      </c>
    </row>
    <row r="1042" spans="1:20" ht="76.5" outlineLevel="1">
      <c r="B1042" s="6">
        <v>1026</v>
      </c>
      <c r="C1042" s="36" t="s">
        <v>714</v>
      </c>
      <c r="D1042" s="43" t="s">
        <v>601</v>
      </c>
      <c r="E1042" s="16" t="s">
        <v>864</v>
      </c>
      <c r="F1042" s="70" t="s">
        <v>865</v>
      </c>
      <c r="G1042" s="70" t="s">
        <v>701</v>
      </c>
      <c r="H1042" s="70" t="s">
        <v>866</v>
      </c>
      <c r="I1042" s="70" t="s">
        <v>867</v>
      </c>
      <c r="J1042" s="70" t="s">
        <v>2315</v>
      </c>
      <c r="K1042" s="70" t="s">
        <v>289</v>
      </c>
      <c r="L1042" s="70" t="s">
        <v>595</v>
      </c>
      <c r="M1042" s="12" t="s">
        <v>918</v>
      </c>
      <c r="N1042" s="26">
        <v>1</v>
      </c>
      <c r="O1042" s="57">
        <f>P1042</f>
        <v>0</v>
      </c>
      <c r="P1042" s="62">
        <f>133929-133929</f>
        <v>0</v>
      </c>
      <c r="Q1042" s="6" t="s">
        <v>505</v>
      </c>
      <c r="R1042" s="6" t="s">
        <v>770</v>
      </c>
      <c r="S1042" s="38" t="s">
        <v>2037</v>
      </c>
      <c r="T1042" s="6">
        <v>30</v>
      </c>
    </row>
    <row r="1043" spans="1:20" ht="51" outlineLevel="1">
      <c r="B1043" s="6">
        <v>1027</v>
      </c>
      <c r="C1043" s="36" t="s">
        <v>714</v>
      </c>
      <c r="D1043" s="43" t="s">
        <v>601</v>
      </c>
      <c r="E1043" s="6" t="s">
        <v>507</v>
      </c>
      <c r="F1043" s="70" t="s">
        <v>508</v>
      </c>
      <c r="G1043" s="70" t="s">
        <v>509</v>
      </c>
      <c r="H1043" s="70" t="s">
        <v>508</v>
      </c>
      <c r="I1043" s="70" t="s">
        <v>509</v>
      </c>
      <c r="J1043" s="70" t="s">
        <v>2253</v>
      </c>
      <c r="K1043" s="70" t="s">
        <v>290</v>
      </c>
      <c r="L1043" s="70" t="s">
        <v>595</v>
      </c>
      <c r="M1043" s="12" t="s">
        <v>918</v>
      </c>
      <c r="N1043" s="26">
        <v>1</v>
      </c>
      <c r="O1043" s="57">
        <v>178571</v>
      </c>
      <c r="P1043" s="62">
        <f t="shared" ref="P1043:P1050" si="17">N1043*O1043</f>
        <v>178571</v>
      </c>
      <c r="Q1043" s="6" t="s">
        <v>397</v>
      </c>
      <c r="R1043" s="6" t="s">
        <v>770</v>
      </c>
      <c r="S1043" s="38" t="s">
        <v>2038</v>
      </c>
      <c r="T1043" s="26">
        <v>100</v>
      </c>
    </row>
    <row r="1044" spans="1:20" ht="51" outlineLevel="1">
      <c r="B1044" s="6">
        <v>1028</v>
      </c>
      <c r="C1044" s="36" t="s">
        <v>714</v>
      </c>
      <c r="D1044" s="43" t="s">
        <v>601</v>
      </c>
      <c r="E1044" s="6" t="s">
        <v>507</v>
      </c>
      <c r="F1044" s="70" t="s">
        <v>508</v>
      </c>
      <c r="G1044" s="70" t="s">
        <v>509</v>
      </c>
      <c r="H1044" s="70" t="s">
        <v>508</v>
      </c>
      <c r="I1044" s="70" t="s">
        <v>509</v>
      </c>
      <c r="J1044" s="70" t="s">
        <v>2253</v>
      </c>
      <c r="K1044" s="70" t="s">
        <v>290</v>
      </c>
      <c r="L1044" s="70" t="s">
        <v>595</v>
      </c>
      <c r="M1044" s="12" t="s">
        <v>918</v>
      </c>
      <c r="N1044" s="26">
        <v>1</v>
      </c>
      <c r="O1044" s="57">
        <v>178571</v>
      </c>
      <c r="P1044" s="62">
        <f t="shared" si="17"/>
        <v>178571</v>
      </c>
      <c r="Q1044" s="6" t="s">
        <v>510</v>
      </c>
      <c r="R1044" s="6" t="s">
        <v>770</v>
      </c>
      <c r="S1044" s="38" t="s">
        <v>1025</v>
      </c>
      <c r="T1044" s="6">
        <v>0</v>
      </c>
    </row>
    <row r="1045" spans="1:20" ht="51" outlineLevel="1">
      <c r="B1045" s="6">
        <v>1029</v>
      </c>
      <c r="C1045" s="36" t="s">
        <v>714</v>
      </c>
      <c r="D1045" s="43" t="s">
        <v>601</v>
      </c>
      <c r="E1045" s="6" t="s">
        <v>507</v>
      </c>
      <c r="F1045" s="70" t="s">
        <v>508</v>
      </c>
      <c r="G1045" s="70" t="s">
        <v>509</v>
      </c>
      <c r="H1045" s="70" t="s">
        <v>508</v>
      </c>
      <c r="I1045" s="70" t="s">
        <v>509</v>
      </c>
      <c r="J1045" s="70" t="s">
        <v>2253</v>
      </c>
      <c r="K1045" s="70" t="s">
        <v>290</v>
      </c>
      <c r="L1045" s="70" t="s">
        <v>595</v>
      </c>
      <c r="M1045" s="12" t="s">
        <v>918</v>
      </c>
      <c r="N1045" s="26">
        <v>1</v>
      </c>
      <c r="O1045" s="57">
        <v>178571</v>
      </c>
      <c r="P1045" s="62">
        <f t="shared" si="17"/>
        <v>178571</v>
      </c>
      <c r="Q1045" s="6" t="s">
        <v>592</v>
      </c>
      <c r="R1045" s="6" t="s">
        <v>770</v>
      </c>
      <c r="S1045" s="38" t="s">
        <v>793</v>
      </c>
      <c r="T1045" s="6">
        <v>0</v>
      </c>
    </row>
    <row r="1046" spans="1:20" ht="38.25" outlineLevel="1">
      <c r="B1046" s="6">
        <v>1030</v>
      </c>
      <c r="C1046" s="36" t="s">
        <v>714</v>
      </c>
      <c r="D1046" s="43" t="s">
        <v>601</v>
      </c>
      <c r="E1046" s="6" t="s">
        <v>507</v>
      </c>
      <c r="F1046" s="70" t="s">
        <v>508</v>
      </c>
      <c r="G1046" s="70" t="s">
        <v>509</v>
      </c>
      <c r="H1046" s="70" t="s">
        <v>508</v>
      </c>
      <c r="I1046" s="70" t="s">
        <v>509</v>
      </c>
      <c r="J1046" s="70" t="s">
        <v>2253</v>
      </c>
      <c r="K1046" s="70" t="s">
        <v>290</v>
      </c>
      <c r="L1046" s="70" t="s">
        <v>595</v>
      </c>
      <c r="M1046" s="12" t="s">
        <v>918</v>
      </c>
      <c r="N1046" s="26">
        <v>1</v>
      </c>
      <c r="O1046" s="57">
        <v>178571</v>
      </c>
      <c r="P1046" s="62">
        <f t="shared" si="17"/>
        <v>178571</v>
      </c>
      <c r="Q1046" s="6" t="s">
        <v>702</v>
      </c>
      <c r="R1046" s="6" t="s">
        <v>703</v>
      </c>
      <c r="S1046" s="38" t="s">
        <v>637</v>
      </c>
      <c r="T1046" s="26">
        <v>0</v>
      </c>
    </row>
    <row r="1047" spans="1:20" ht="51" outlineLevel="1">
      <c r="B1047" s="6">
        <v>1031</v>
      </c>
      <c r="C1047" s="36" t="s">
        <v>714</v>
      </c>
      <c r="D1047" s="43" t="s">
        <v>601</v>
      </c>
      <c r="E1047" s="6" t="s">
        <v>507</v>
      </c>
      <c r="F1047" s="70" t="s">
        <v>508</v>
      </c>
      <c r="G1047" s="70" t="s">
        <v>509</v>
      </c>
      <c r="H1047" s="70" t="s">
        <v>508</v>
      </c>
      <c r="I1047" s="70" t="s">
        <v>509</v>
      </c>
      <c r="J1047" s="70" t="s">
        <v>2253</v>
      </c>
      <c r="K1047" s="70" t="s">
        <v>290</v>
      </c>
      <c r="L1047" s="70" t="s">
        <v>595</v>
      </c>
      <c r="M1047" s="12" t="s">
        <v>918</v>
      </c>
      <c r="N1047" s="26">
        <v>1</v>
      </c>
      <c r="O1047" s="57">
        <v>178571</v>
      </c>
      <c r="P1047" s="62">
        <f t="shared" si="17"/>
        <v>178571</v>
      </c>
      <c r="Q1047" s="6" t="s">
        <v>703</v>
      </c>
      <c r="R1047" s="6" t="s">
        <v>770</v>
      </c>
      <c r="S1047" s="38">
        <v>311000000</v>
      </c>
      <c r="T1047" s="26">
        <v>0</v>
      </c>
    </row>
    <row r="1048" spans="1:20" s="39" customFormat="1" ht="38.25">
      <c r="B1048" s="6">
        <v>1032</v>
      </c>
      <c r="C1048" s="36" t="s">
        <v>714</v>
      </c>
      <c r="D1048" s="43" t="s">
        <v>601</v>
      </c>
      <c r="E1048" s="6" t="s">
        <v>507</v>
      </c>
      <c r="F1048" s="70" t="s">
        <v>508</v>
      </c>
      <c r="G1048" s="70" t="s">
        <v>509</v>
      </c>
      <c r="H1048" s="70" t="s">
        <v>508</v>
      </c>
      <c r="I1048" s="70" t="s">
        <v>509</v>
      </c>
      <c r="J1048" s="70" t="s">
        <v>2253</v>
      </c>
      <c r="K1048" s="70" t="s">
        <v>290</v>
      </c>
      <c r="L1048" s="70" t="s">
        <v>595</v>
      </c>
      <c r="M1048" s="12" t="s">
        <v>918</v>
      </c>
      <c r="N1048" s="26">
        <v>1</v>
      </c>
      <c r="O1048" s="57">
        <v>178571</v>
      </c>
      <c r="P1048" s="62">
        <f t="shared" si="17"/>
        <v>178571</v>
      </c>
      <c r="Q1048" s="6" t="s">
        <v>616</v>
      </c>
      <c r="R1048" s="6" t="s">
        <v>398</v>
      </c>
      <c r="S1048" s="38">
        <v>551000000</v>
      </c>
      <c r="T1048" s="26">
        <v>100</v>
      </c>
    </row>
    <row r="1049" spans="1:20" ht="38.25" outlineLevel="1">
      <c r="B1049" s="6">
        <v>1033</v>
      </c>
      <c r="C1049" s="36" t="s">
        <v>714</v>
      </c>
      <c r="D1049" s="43" t="s">
        <v>601</v>
      </c>
      <c r="E1049" s="6" t="s">
        <v>507</v>
      </c>
      <c r="F1049" s="70" t="s">
        <v>508</v>
      </c>
      <c r="G1049" s="70" t="s">
        <v>509</v>
      </c>
      <c r="H1049" s="70" t="s">
        <v>508</v>
      </c>
      <c r="I1049" s="70" t="s">
        <v>509</v>
      </c>
      <c r="J1049" s="70" t="s">
        <v>2253</v>
      </c>
      <c r="K1049" s="70" t="s">
        <v>290</v>
      </c>
      <c r="L1049" s="70" t="s">
        <v>595</v>
      </c>
      <c r="M1049" s="12" t="s">
        <v>918</v>
      </c>
      <c r="N1049" s="26">
        <v>1</v>
      </c>
      <c r="O1049" s="57">
        <f>P1049</f>
        <v>0</v>
      </c>
      <c r="P1049" s="62">
        <f>178571-178571</f>
        <v>0</v>
      </c>
      <c r="Q1049" s="6" t="s">
        <v>592</v>
      </c>
      <c r="R1049" s="6" t="s">
        <v>592</v>
      </c>
      <c r="S1049" s="38" t="s">
        <v>2037</v>
      </c>
      <c r="T1049" s="6">
        <v>0</v>
      </c>
    </row>
    <row r="1050" spans="1:20" ht="51.6" customHeight="1" outlineLevel="1">
      <c r="B1050" s="6">
        <v>1034</v>
      </c>
      <c r="C1050" s="16" t="s">
        <v>714</v>
      </c>
      <c r="D1050" s="6" t="s">
        <v>601</v>
      </c>
      <c r="E1050" s="58" t="s">
        <v>1140</v>
      </c>
      <c r="F1050" s="70" t="s">
        <v>1793</v>
      </c>
      <c r="G1050" s="70" t="s">
        <v>1141</v>
      </c>
      <c r="H1050" s="70" t="s">
        <v>1794</v>
      </c>
      <c r="I1050" s="70" t="s">
        <v>1142</v>
      </c>
      <c r="J1050" s="70" t="s">
        <v>1795</v>
      </c>
      <c r="K1050" s="70" t="s">
        <v>41</v>
      </c>
      <c r="L1050" s="70" t="s">
        <v>595</v>
      </c>
      <c r="M1050" s="12" t="s">
        <v>918</v>
      </c>
      <c r="N1050" s="26">
        <v>1</v>
      </c>
      <c r="O1050" s="57">
        <v>106786</v>
      </c>
      <c r="P1050" s="62">
        <f t="shared" si="17"/>
        <v>106786</v>
      </c>
      <c r="Q1050" s="6" t="s">
        <v>505</v>
      </c>
      <c r="R1050" s="6" t="s">
        <v>1482</v>
      </c>
      <c r="S1050" s="38" t="s">
        <v>1179</v>
      </c>
      <c r="T1050" s="26">
        <v>0</v>
      </c>
    </row>
    <row r="1051" spans="1:20" ht="51" outlineLevel="1">
      <c r="B1051" s="6">
        <v>1035</v>
      </c>
      <c r="C1051" s="16" t="s">
        <v>714</v>
      </c>
      <c r="D1051" s="6" t="s">
        <v>601</v>
      </c>
      <c r="E1051" s="6" t="s">
        <v>779</v>
      </c>
      <c r="F1051" s="70" t="s">
        <v>532</v>
      </c>
      <c r="G1051" s="70" t="s">
        <v>533</v>
      </c>
      <c r="H1051" s="70" t="s">
        <v>534</v>
      </c>
      <c r="I1051" s="70" t="s">
        <v>780</v>
      </c>
      <c r="J1051" s="70" t="s">
        <v>1796</v>
      </c>
      <c r="K1051" s="70" t="s">
        <v>42</v>
      </c>
      <c r="L1051" s="70" t="s">
        <v>595</v>
      </c>
      <c r="M1051" s="12" t="s">
        <v>918</v>
      </c>
      <c r="N1051" s="26">
        <v>1</v>
      </c>
      <c r="O1051" s="57">
        <f>P1051/N1051</f>
        <v>1116000</v>
      </c>
      <c r="P1051" s="62">
        <v>1116000</v>
      </c>
      <c r="Q1051" s="6" t="s">
        <v>397</v>
      </c>
      <c r="R1051" s="6" t="s">
        <v>770</v>
      </c>
      <c r="S1051" s="38" t="s">
        <v>1179</v>
      </c>
      <c r="T1051" s="26">
        <v>0</v>
      </c>
    </row>
    <row r="1052" spans="1:20" ht="178.5" outlineLevel="1">
      <c r="B1052" s="6">
        <v>1036</v>
      </c>
      <c r="C1052" s="16" t="s">
        <v>714</v>
      </c>
      <c r="D1052" s="6" t="s">
        <v>601</v>
      </c>
      <c r="E1052" s="6" t="s">
        <v>515</v>
      </c>
      <c r="F1052" s="70" t="s">
        <v>516</v>
      </c>
      <c r="G1052" s="70" t="s">
        <v>114</v>
      </c>
      <c r="H1052" s="70" t="s">
        <v>517</v>
      </c>
      <c r="I1052" s="70" t="s">
        <v>518</v>
      </c>
      <c r="J1052" s="70" t="s">
        <v>1797</v>
      </c>
      <c r="K1052" s="70" t="s">
        <v>114</v>
      </c>
      <c r="L1052" s="70" t="s">
        <v>595</v>
      </c>
      <c r="M1052" s="12" t="s">
        <v>918</v>
      </c>
      <c r="N1052" s="26">
        <v>1</v>
      </c>
      <c r="O1052" s="57">
        <v>446429</v>
      </c>
      <c r="P1052" s="62">
        <f>N1052*O1052</f>
        <v>446429</v>
      </c>
      <c r="Q1052" s="6" t="s">
        <v>592</v>
      </c>
      <c r="R1052" s="6" t="s">
        <v>770</v>
      </c>
      <c r="S1052" s="38" t="s">
        <v>1179</v>
      </c>
      <c r="T1052" s="26">
        <v>0</v>
      </c>
    </row>
    <row r="1053" spans="1:20" ht="51" outlineLevel="1">
      <c r="B1053" s="6">
        <v>1037</v>
      </c>
      <c r="C1053" s="16" t="s">
        <v>714</v>
      </c>
      <c r="D1053" s="6" t="s">
        <v>601</v>
      </c>
      <c r="E1053" s="6" t="s">
        <v>1403</v>
      </c>
      <c r="F1053" s="70" t="s">
        <v>532</v>
      </c>
      <c r="G1053" s="70" t="s">
        <v>533</v>
      </c>
      <c r="H1053" s="70" t="s">
        <v>1802</v>
      </c>
      <c r="I1053" s="70" t="s">
        <v>1404</v>
      </c>
      <c r="J1053" s="70" t="s">
        <v>1798</v>
      </c>
      <c r="K1053" s="70" t="s">
        <v>43</v>
      </c>
      <c r="L1053" s="70" t="s">
        <v>595</v>
      </c>
      <c r="M1053" s="12" t="s">
        <v>918</v>
      </c>
      <c r="N1053" s="26">
        <v>1</v>
      </c>
      <c r="O1053" s="57">
        <f>P1053/N1053</f>
        <v>90000</v>
      </c>
      <c r="P1053" s="62">
        <v>90000</v>
      </c>
      <c r="Q1053" s="6" t="s">
        <v>397</v>
      </c>
      <c r="R1053" s="6" t="s">
        <v>770</v>
      </c>
      <c r="S1053" s="38" t="s">
        <v>1179</v>
      </c>
      <c r="T1053" s="26">
        <v>0</v>
      </c>
    </row>
    <row r="1054" spans="1:20" ht="51" outlineLevel="1">
      <c r="B1054" s="6">
        <v>1038</v>
      </c>
      <c r="C1054" s="16" t="s">
        <v>714</v>
      </c>
      <c r="D1054" s="6" t="s">
        <v>601</v>
      </c>
      <c r="E1054" s="6" t="s">
        <v>1405</v>
      </c>
      <c r="F1054" s="70" t="s">
        <v>1406</v>
      </c>
      <c r="G1054" s="70" t="s">
        <v>1407</v>
      </c>
      <c r="H1054" s="70" t="s">
        <v>1406</v>
      </c>
      <c r="I1054" s="70" t="s">
        <v>1407</v>
      </c>
      <c r="J1054" s="70" t="s">
        <v>1799</v>
      </c>
      <c r="K1054" s="70" t="s">
        <v>44</v>
      </c>
      <c r="L1054" s="70" t="s">
        <v>595</v>
      </c>
      <c r="M1054" s="12" t="s">
        <v>918</v>
      </c>
      <c r="N1054" s="26">
        <v>1</v>
      </c>
      <c r="O1054" s="57">
        <f>P1054/N1054</f>
        <v>156250</v>
      </c>
      <c r="P1054" s="62">
        <v>156250</v>
      </c>
      <c r="Q1054" s="6" t="s">
        <v>870</v>
      </c>
      <c r="R1054" s="6" t="s">
        <v>770</v>
      </c>
      <c r="S1054" s="38" t="s">
        <v>1179</v>
      </c>
      <c r="T1054" s="26">
        <v>0</v>
      </c>
    </row>
    <row r="1055" spans="1:20" ht="51" outlineLevel="1">
      <c r="B1055" s="6">
        <v>1039</v>
      </c>
      <c r="C1055" s="16" t="s">
        <v>714</v>
      </c>
      <c r="D1055" s="6" t="s">
        <v>601</v>
      </c>
      <c r="E1055" s="6" t="s">
        <v>1408</v>
      </c>
      <c r="F1055" s="70" t="s">
        <v>532</v>
      </c>
      <c r="G1055" s="70" t="s">
        <v>920</v>
      </c>
      <c r="H1055" s="70" t="s">
        <v>1803</v>
      </c>
      <c r="I1055" s="70" t="s">
        <v>1409</v>
      </c>
      <c r="J1055" s="70" t="s">
        <v>1800</v>
      </c>
      <c r="K1055" s="70" t="s">
        <v>45</v>
      </c>
      <c r="L1055" s="70" t="s">
        <v>595</v>
      </c>
      <c r="M1055" s="12" t="s">
        <v>918</v>
      </c>
      <c r="N1055" s="26">
        <v>1</v>
      </c>
      <c r="O1055" s="57">
        <v>89286</v>
      </c>
      <c r="P1055" s="62">
        <f t="shared" ref="P1055:P1086" si="18">N1055*O1055</f>
        <v>89286</v>
      </c>
      <c r="Q1055" s="6" t="s">
        <v>616</v>
      </c>
      <c r="R1055" s="6" t="s">
        <v>770</v>
      </c>
      <c r="S1055" s="38" t="s">
        <v>1179</v>
      </c>
      <c r="T1055" s="26">
        <v>0</v>
      </c>
    </row>
    <row r="1056" spans="1:20" s="1" customFormat="1" ht="89.25">
      <c r="A1056" s="3"/>
      <c r="B1056" s="6">
        <v>1040</v>
      </c>
      <c r="C1056" s="16" t="s">
        <v>714</v>
      </c>
      <c r="D1056" s="5" t="s">
        <v>601</v>
      </c>
      <c r="E1056" s="38" t="s">
        <v>919</v>
      </c>
      <c r="F1056" s="70" t="s">
        <v>1804</v>
      </c>
      <c r="G1056" s="70" t="s">
        <v>920</v>
      </c>
      <c r="H1056" s="70" t="s">
        <v>1805</v>
      </c>
      <c r="I1056" s="70" t="s">
        <v>921</v>
      </c>
      <c r="J1056" s="70" t="s">
        <v>1801</v>
      </c>
      <c r="K1056" s="70" t="s">
        <v>1473</v>
      </c>
      <c r="L1056" s="70" t="s">
        <v>595</v>
      </c>
      <c r="M1056" s="12" t="s">
        <v>918</v>
      </c>
      <c r="N1056" s="26">
        <v>1</v>
      </c>
      <c r="O1056" s="57">
        <v>160714</v>
      </c>
      <c r="P1056" s="62">
        <f t="shared" si="18"/>
        <v>160714</v>
      </c>
      <c r="Q1056" s="6" t="s">
        <v>395</v>
      </c>
      <c r="R1056" s="6" t="s">
        <v>1488</v>
      </c>
      <c r="S1056" s="38" t="s">
        <v>1179</v>
      </c>
      <c r="T1056" s="6">
        <v>0</v>
      </c>
    </row>
    <row r="1057" spans="1:20" ht="89.25" outlineLevel="1">
      <c r="B1057" s="6">
        <v>1041</v>
      </c>
      <c r="C1057" s="36" t="s">
        <v>714</v>
      </c>
      <c r="D1057" s="43" t="s">
        <v>601</v>
      </c>
      <c r="E1057" s="38" t="s">
        <v>919</v>
      </c>
      <c r="F1057" s="70" t="s">
        <v>1804</v>
      </c>
      <c r="G1057" s="70" t="s">
        <v>920</v>
      </c>
      <c r="H1057" s="70" t="s">
        <v>1805</v>
      </c>
      <c r="I1057" s="70" t="s">
        <v>921</v>
      </c>
      <c r="J1057" s="70" t="s">
        <v>1015</v>
      </c>
      <c r="K1057" s="70" t="s">
        <v>259</v>
      </c>
      <c r="L1057" s="70" t="s">
        <v>595</v>
      </c>
      <c r="M1057" s="12" t="s">
        <v>918</v>
      </c>
      <c r="N1057" s="26">
        <v>1</v>
      </c>
      <c r="O1057" s="57">
        <v>127009</v>
      </c>
      <c r="P1057" s="62">
        <f t="shared" si="18"/>
        <v>127009</v>
      </c>
      <c r="Q1057" s="6" t="s">
        <v>519</v>
      </c>
      <c r="R1057" s="6" t="s">
        <v>770</v>
      </c>
      <c r="S1057" s="38" t="s">
        <v>2038</v>
      </c>
      <c r="T1057" s="26">
        <v>100</v>
      </c>
    </row>
    <row r="1058" spans="1:20" ht="89.25" outlineLevel="1">
      <c r="B1058" s="6">
        <v>1042</v>
      </c>
      <c r="C1058" s="36" t="s">
        <v>714</v>
      </c>
      <c r="D1058" s="43" t="s">
        <v>601</v>
      </c>
      <c r="E1058" s="38" t="s">
        <v>919</v>
      </c>
      <c r="F1058" s="70" t="s">
        <v>1804</v>
      </c>
      <c r="G1058" s="70" t="s">
        <v>920</v>
      </c>
      <c r="H1058" s="70" t="s">
        <v>1805</v>
      </c>
      <c r="I1058" s="70" t="s">
        <v>921</v>
      </c>
      <c r="J1058" s="70" t="s">
        <v>1015</v>
      </c>
      <c r="K1058" s="70" t="s">
        <v>259</v>
      </c>
      <c r="L1058" s="70" t="s">
        <v>595</v>
      </c>
      <c r="M1058" s="12" t="s">
        <v>918</v>
      </c>
      <c r="N1058" s="26">
        <v>1</v>
      </c>
      <c r="O1058" s="57">
        <v>127009</v>
      </c>
      <c r="P1058" s="62">
        <f t="shared" si="18"/>
        <v>127009</v>
      </c>
      <c r="Q1058" s="38" t="s">
        <v>395</v>
      </c>
      <c r="R1058" s="6" t="s">
        <v>770</v>
      </c>
      <c r="S1058" s="38" t="s">
        <v>1025</v>
      </c>
      <c r="T1058" s="6">
        <v>0</v>
      </c>
    </row>
    <row r="1059" spans="1:20" ht="89.25">
      <c r="B1059" s="6">
        <v>1043</v>
      </c>
      <c r="C1059" s="36" t="s">
        <v>714</v>
      </c>
      <c r="D1059" s="43" t="s">
        <v>601</v>
      </c>
      <c r="E1059" s="38" t="s">
        <v>919</v>
      </c>
      <c r="F1059" s="70" t="s">
        <v>1804</v>
      </c>
      <c r="G1059" s="70" t="s">
        <v>920</v>
      </c>
      <c r="H1059" s="70" t="s">
        <v>1805</v>
      </c>
      <c r="I1059" s="70" t="s">
        <v>921</v>
      </c>
      <c r="J1059" s="70" t="s">
        <v>1015</v>
      </c>
      <c r="K1059" s="70" t="s">
        <v>259</v>
      </c>
      <c r="L1059" s="70" t="s">
        <v>595</v>
      </c>
      <c r="M1059" s="12" t="s">
        <v>918</v>
      </c>
      <c r="N1059" s="26">
        <v>1</v>
      </c>
      <c r="O1059" s="57">
        <v>127009</v>
      </c>
      <c r="P1059" s="62">
        <f t="shared" si="18"/>
        <v>127009</v>
      </c>
      <c r="Q1059" s="6" t="s">
        <v>592</v>
      </c>
      <c r="R1059" s="6" t="s">
        <v>770</v>
      </c>
      <c r="S1059" s="38" t="s">
        <v>793</v>
      </c>
      <c r="T1059" s="6">
        <v>0</v>
      </c>
    </row>
    <row r="1060" spans="1:20" ht="89.25" outlineLevel="1">
      <c r="B1060" s="6">
        <v>1044</v>
      </c>
      <c r="C1060" s="36" t="s">
        <v>714</v>
      </c>
      <c r="D1060" s="43" t="s">
        <v>601</v>
      </c>
      <c r="E1060" s="38" t="s">
        <v>919</v>
      </c>
      <c r="F1060" s="70" t="s">
        <v>1804</v>
      </c>
      <c r="G1060" s="70" t="s">
        <v>920</v>
      </c>
      <c r="H1060" s="70" t="s">
        <v>1805</v>
      </c>
      <c r="I1060" s="70" t="s">
        <v>921</v>
      </c>
      <c r="J1060" s="70" t="s">
        <v>1015</v>
      </c>
      <c r="K1060" s="70" t="s">
        <v>259</v>
      </c>
      <c r="L1060" s="70" t="s">
        <v>595</v>
      </c>
      <c r="M1060" s="12" t="s">
        <v>918</v>
      </c>
      <c r="N1060" s="26">
        <v>1</v>
      </c>
      <c r="O1060" s="57">
        <f>P1060/N1060</f>
        <v>0</v>
      </c>
      <c r="P1060" s="62">
        <f>127009-127009</f>
        <v>0</v>
      </c>
      <c r="Q1060" s="6" t="s">
        <v>395</v>
      </c>
      <c r="R1060" s="6" t="s">
        <v>395</v>
      </c>
      <c r="S1060" s="38" t="s">
        <v>2030</v>
      </c>
      <c r="T1060" s="26">
        <v>0</v>
      </c>
    </row>
    <row r="1061" spans="1:20" ht="89.25" outlineLevel="1">
      <c r="A1061" s="61"/>
      <c r="B1061" s="6">
        <v>1045</v>
      </c>
      <c r="C1061" s="36" t="s">
        <v>714</v>
      </c>
      <c r="D1061" s="43" t="s">
        <v>601</v>
      </c>
      <c r="E1061" s="38" t="s">
        <v>919</v>
      </c>
      <c r="F1061" s="70" t="s">
        <v>1804</v>
      </c>
      <c r="G1061" s="70" t="s">
        <v>920</v>
      </c>
      <c r="H1061" s="70" t="s">
        <v>1805</v>
      </c>
      <c r="I1061" s="70" t="s">
        <v>921</v>
      </c>
      <c r="J1061" s="70" t="s">
        <v>1015</v>
      </c>
      <c r="K1061" s="70" t="s">
        <v>259</v>
      </c>
      <c r="L1061" s="70" t="s">
        <v>595</v>
      </c>
      <c r="M1061" s="12" t="s">
        <v>918</v>
      </c>
      <c r="N1061" s="26">
        <v>1</v>
      </c>
      <c r="O1061" s="57">
        <v>127009</v>
      </c>
      <c r="P1061" s="62">
        <f t="shared" si="18"/>
        <v>127009</v>
      </c>
      <c r="Q1061" s="6" t="s">
        <v>395</v>
      </c>
      <c r="R1061" s="6" t="s">
        <v>770</v>
      </c>
      <c r="S1061" s="38" t="s">
        <v>2035</v>
      </c>
      <c r="T1061" s="26">
        <v>30</v>
      </c>
    </row>
    <row r="1062" spans="1:20" s="14" customFormat="1" ht="89.25">
      <c r="A1062" s="17"/>
      <c r="B1062" s="6">
        <v>1046</v>
      </c>
      <c r="C1062" s="36" t="s">
        <v>714</v>
      </c>
      <c r="D1062" s="43" t="s">
        <v>601</v>
      </c>
      <c r="E1062" s="38" t="s">
        <v>919</v>
      </c>
      <c r="F1062" s="70" t="s">
        <v>1804</v>
      </c>
      <c r="G1062" s="70" t="s">
        <v>920</v>
      </c>
      <c r="H1062" s="70" t="s">
        <v>1805</v>
      </c>
      <c r="I1062" s="70" t="s">
        <v>921</v>
      </c>
      <c r="J1062" s="70" t="s">
        <v>1015</v>
      </c>
      <c r="K1062" s="70" t="s">
        <v>259</v>
      </c>
      <c r="L1062" s="70" t="s">
        <v>595</v>
      </c>
      <c r="M1062" s="12" t="s">
        <v>918</v>
      </c>
      <c r="N1062" s="26">
        <v>1</v>
      </c>
      <c r="O1062" s="57">
        <v>127009</v>
      </c>
      <c r="P1062" s="62">
        <f t="shared" si="18"/>
        <v>127009</v>
      </c>
      <c r="Q1062" s="6" t="s">
        <v>505</v>
      </c>
      <c r="R1062" s="6" t="s">
        <v>770</v>
      </c>
      <c r="S1062" s="38" t="s">
        <v>2031</v>
      </c>
      <c r="T1062" s="26">
        <v>100</v>
      </c>
    </row>
    <row r="1063" spans="1:20" ht="89.25" outlineLevel="1">
      <c r="B1063" s="6">
        <v>1047</v>
      </c>
      <c r="C1063" s="36" t="s">
        <v>714</v>
      </c>
      <c r="D1063" s="43" t="s">
        <v>601</v>
      </c>
      <c r="E1063" s="38" t="s">
        <v>919</v>
      </c>
      <c r="F1063" s="70" t="s">
        <v>1804</v>
      </c>
      <c r="G1063" s="70" t="s">
        <v>920</v>
      </c>
      <c r="H1063" s="70" t="s">
        <v>1805</v>
      </c>
      <c r="I1063" s="70" t="s">
        <v>921</v>
      </c>
      <c r="J1063" s="70" t="s">
        <v>1015</v>
      </c>
      <c r="K1063" s="70" t="s">
        <v>259</v>
      </c>
      <c r="L1063" s="70" t="s">
        <v>595</v>
      </c>
      <c r="M1063" s="12" t="s">
        <v>918</v>
      </c>
      <c r="N1063" s="26">
        <v>1</v>
      </c>
      <c r="O1063" s="57">
        <v>127009</v>
      </c>
      <c r="P1063" s="62">
        <f t="shared" si="18"/>
        <v>127009</v>
      </c>
      <c r="Q1063" s="6" t="s">
        <v>395</v>
      </c>
      <c r="R1063" s="6" t="s">
        <v>770</v>
      </c>
      <c r="S1063" s="38" t="s">
        <v>637</v>
      </c>
      <c r="T1063" s="26">
        <v>30</v>
      </c>
    </row>
    <row r="1064" spans="1:20" ht="89.25" outlineLevel="1">
      <c r="B1064" s="6">
        <v>1048</v>
      </c>
      <c r="C1064" s="36" t="s">
        <v>714</v>
      </c>
      <c r="D1064" s="43" t="s">
        <v>601</v>
      </c>
      <c r="E1064" s="38" t="s">
        <v>919</v>
      </c>
      <c r="F1064" s="70" t="s">
        <v>1804</v>
      </c>
      <c r="G1064" s="70" t="s">
        <v>920</v>
      </c>
      <c r="H1064" s="70" t="s">
        <v>1805</v>
      </c>
      <c r="I1064" s="70" t="s">
        <v>921</v>
      </c>
      <c r="J1064" s="70" t="s">
        <v>1015</v>
      </c>
      <c r="K1064" s="70" t="s">
        <v>259</v>
      </c>
      <c r="L1064" s="70" t="s">
        <v>595</v>
      </c>
      <c r="M1064" s="12" t="s">
        <v>918</v>
      </c>
      <c r="N1064" s="26">
        <v>1</v>
      </c>
      <c r="O1064" s="57">
        <v>127009</v>
      </c>
      <c r="P1064" s="62">
        <f t="shared" si="18"/>
        <v>127009</v>
      </c>
      <c r="Q1064" s="6" t="s">
        <v>506</v>
      </c>
      <c r="R1064" s="6" t="s">
        <v>770</v>
      </c>
      <c r="S1064" s="38">
        <v>311000000</v>
      </c>
      <c r="T1064" s="26">
        <v>0</v>
      </c>
    </row>
    <row r="1065" spans="1:20" ht="89.25" outlineLevel="1">
      <c r="B1065" s="6">
        <v>1049</v>
      </c>
      <c r="C1065" s="36" t="s">
        <v>714</v>
      </c>
      <c r="D1065" s="43" t="s">
        <v>601</v>
      </c>
      <c r="E1065" s="38" t="s">
        <v>919</v>
      </c>
      <c r="F1065" s="70" t="s">
        <v>1804</v>
      </c>
      <c r="G1065" s="70" t="s">
        <v>920</v>
      </c>
      <c r="H1065" s="70" t="s">
        <v>1805</v>
      </c>
      <c r="I1065" s="70" t="s">
        <v>921</v>
      </c>
      <c r="J1065" s="70" t="s">
        <v>1015</v>
      </c>
      <c r="K1065" s="70" t="s">
        <v>259</v>
      </c>
      <c r="L1065" s="70" t="s">
        <v>595</v>
      </c>
      <c r="M1065" s="12" t="s">
        <v>918</v>
      </c>
      <c r="N1065" s="26">
        <v>1</v>
      </c>
      <c r="O1065" s="57">
        <v>127009</v>
      </c>
      <c r="P1065" s="62">
        <f t="shared" si="18"/>
        <v>127009</v>
      </c>
      <c r="Q1065" s="6" t="s">
        <v>397</v>
      </c>
      <c r="R1065" s="6" t="s">
        <v>770</v>
      </c>
      <c r="S1065" s="38" t="s">
        <v>2032</v>
      </c>
      <c r="T1065" s="6">
        <v>100</v>
      </c>
    </row>
    <row r="1066" spans="1:20" ht="89.25">
      <c r="B1066" s="6">
        <v>1050</v>
      </c>
      <c r="C1066" s="36" t="s">
        <v>714</v>
      </c>
      <c r="D1066" s="43" t="s">
        <v>601</v>
      </c>
      <c r="E1066" s="38" t="s">
        <v>919</v>
      </c>
      <c r="F1066" s="70" t="s">
        <v>1804</v>
      </c>
      <c r="G1066" s="70" t="s">
        <v>920</v>
      </c>
      <c r="H1066" s="70" t="s">
        <v>1805</v>
      </c>
      <c r="I1066" s="70" t="s">
        <v>921</v>
      </c>
      <c r="J1066" s="70" t="s">
        <v>1015</v>
      </c>
      <c r="K1066" s="70" t="s">
        <v>259</v>
      </c>
      <c r="L1066" s="70" t="s">
        <v>595</v>
      </c>
      <c r="M1066" s="12" t="s">
        <v>918</v>
      </c>
      <c r="N1066" s="26">
        <v>1</v>
      </c>
      <c r="O1066" s="57">
        <v>127009</v>
      </c>
      <c r="P1066" s="62">
        <f t="shared" si="18"/>
        <v>127009</v>
      </c>
      <c r="Q1066" s="6" t="s">
        <v>395</v>
      </c>
      <c r="R1066" s="6" t="s">
        <v>770</v>
      </c>
      <c r="S1066" s="38">
        <v>351000000</v>
      </c>
      <c r="T1066" s="26">
        <v>30</v>
      </c>
    </row>
    <row r="1067" spans="1:20" ht="89.25" outlineLevel="1">
      <c r="B1067" s="6">
        <v>1051</v>
      </c>
      <c r="C1067" s="36" t="s">
        <v>714</v>
      </c>
      <c r="D1067" s="43" t="s">
        <v>601</v>
      </c>
      <c r="E1067" s="38" t="s">
        <v>919</v>
      </c>
      <c r="F1067" s="70" t="s">
        <v>1804</v>
      </c>
      <c r="G1067" s="70" t="s">
        <v>920</v>
      </c>
      <c r="H1067" s="70" t="s">
        <v>1805</v>
      </c>
      <c r="I1067" s="70" t="s">
        <v>921</v>
      </c>
      <c r="J1067" s="70" t="s">
        <v>1015</v>
      </c>
      <c r="K1067" s="70" t="s">
        <v>259</v>
      </c>
      <c r="L1067" s="70" t="s">
        <v>595</v>
      </c>
      <c r="M1067" s="12" t="s">
        <v>918</v>
      </c>
      <c r="N1067" s="26">
        <v>1</v>
      </c>
      <c r="O1067" s="57">
        <f>P1067/N1067</f>
        <v>115295</v>
      </c>
      <c r="P1067" s="62">
        <f>127009-11714</f>
        <v>115295</v>
      </c>
      <c r="Q1067" s="6" t="s">
        <v>519</v>
      </c>
      <c r="R1067" s="6" t="s">
        <v>770</v>
      </c>
      <c r="S1067" s="38" t="s">
        <v>929</v>
      </c>
      <c r="T1067" s="26">
        <v>50</v>
      </c>
    </row>
    <row r="1068" spans="1:20" ht="89.25" outlineLevel="1">
      <c r="B1068" s="6">
        <v>1052</v>
      </c>
      <c r="C1068" s="36" t="s">
        <v>714</v>
      </c>
      <c r="D1068" s="43" t="s">
        <v>601</v>
      </c>
      <c r="E1068" s="38" t="s">
        <v>919</v>
      </c>
      <c r="F1068" s="70" t="s">
        <v>1804</v>
      </c>
      <c r="G1068" s="70" t="s">
        <v>920</v>
      </c>
      <c r="H1068" s="70" t="s">
        <v>1805</v>
      </c>
      <c r="I1068" s="70" t="s">
        <v>921</v>
      </c>
      <c r="J1068" s="70" t="s">
        <v>1015</v>
      </c>
      <c r="K1068" s="70" t="s">
        <v>259</v>
      </c>
      <c r="L1068" s="70" t="s">
        <v>595</v>
      </c>
      <c r="M1068" s="12" t="s">
        <v>918</v>
      </c>
      <c r="N1068" s="26">
        <v>1</v>
      </c>
      <c r="O1068" s="57">
        <v>127009</v>
      </c>
      <c r="P1068" s="62">
        <f t="shared" si="18"/>
        <v>127009</v>
      </c>
      <c r="Q1068" s="6" t="s">
        <v>397</v>
      </c>
      <c r="R1068" s="6" t="s">
        <v>770</v>
      </c>
      <c r="S1068" s="38">
        <v>431000000</v>
      </c>
      <c r="T1068" s="26">
        <v>100</v>
      </c>
    </row>
    <row r="1069" spans="1:20" ht="89.25" outlineLevel="1">
      <c r="B1069" s="6">
        <v>1053</v>
      </c>
      <c r="C1069" s="36" t="s">
        <v>714</v>
      </c>
      <c r="D1069" s="43" t="s">
        <v>601</v>
      </c>
      <c r="E1069" s="38" t="s">
        <v>919</v>
      </c>
      <c r="F1069" s="70" t="s">
        <v>1804</v>
      </c>
      <c r="G1069" s="70" t="s">
        <v>920</v>
      </c>
      <c r="H1069" s="70" t="s">
        <v>1805</v>
      </c>
      <c r="I1069" s="70" t="s">
        <v>921</v>
      </c>
      <c r="J1069" s="70" t="s">
        <v>1015</v>
      </c>
      <c r="K1069" s="70" t="s">
        <v>259</v>
      </c>
      <c r="L1069" s="70" t="s">
        <v>595</v>
      </c>
      <c r="M1069" s="12" t="s">
        <v>918</v>
      </c>
      <c r="N1069" s="65">
        <v>1</v>
      </c>
      <c r="O1069" s="57">
        <v>127009</v>
      </c>
      <c r="P1069" s="62">
        <f t="shared" si="18"/>
        <v>127009</v>
      </c>
      <c r="Q1069" s="6" t="s">
        <v>519</v>
      </c>
      <c r="R1069" s="6" t="s">
        <v>770</v>
      </c>
      <c r="S1069" s="38" t="s">
        <v>719</v>
      </c>
      <c r="T1069" s="26">
        <v>0</v>
      </c>
    </row>
    <row r="1070" spans="1:20" s="39" customFormat="1" ht="89.25">
      <c r="B1070" s="6">
        <v>1054</v>
      </c>
      <c r="C1070" s="36" t="s">
        <v>714</v>
      </c>
      <c r="D1070" s="43" t="s">
        <v>601</v>
      </c>
      <c r="E1070" s="38" t="s">
        <v>919</v>
      </c>
      <c r="F1070" s="70" t="s">
        <v>1804</v>
      </c>
      <c r="G1070" s="70" t="s">
        <v>920</v>
      </c>
      <c r="H1070" s="70" t="s">
        <v>1805</v>
      </c>
      <c r="I1070" s="70" t="s">
        <v>921</v>
      </c>
      <c r="J1070" s="70" t="s">
        <v>1015</v>
      </c>
      <c r="K1070" s="70" t="s">
        <v>259</v>
      </c>
      <c r="L1070" s="70" t="s">
        <v>595</v>
      </c>
      <c r="M1070" s="12" t="s">
        <v>918</v>
      </c>
      <c r="N1070" s="26">
        <v>1</v>
      </c>
      <c r="O1070" s="57">
        <v>127009</v>
      </c>
      <c r="P1070" s="62">
        <f t="shared" si="18"/>
        <v>127009</v>
      </c>
      <c r="Q1070" s="6" t="s">
        <v>519</v>
      </c>
      <c r="R1070" s="6" t="s">
        <v>505</v>
      </c>
      <c r="S1070" s="38">
        <v>551000000</v>
      </c>
      <c r="T1070" s="26">
        <v>30</v>
      </c>
    </row>
    <row r="1071" spans="1:20" ht="89.25" outlineLevel="1">
      <c r="B1071" s="6">
        <v>1055</v>
      </c>
      <c r="C1071" s="36" t="s">
        <v>714</v>
      </c>
      <c r="D1071" s="43" t="s">
        <v>601</v>
      </c>
      <c r="E1071" s="38" t="s">
        <v>919</v>
      </c>
      <c r="F1071" s="70" t="s">
        <v>1804</v>
      </c>
      <c r="G1071" s="70" t="s">
        <v>920</v>
      </c>
      <c r="H1071" s="70" t="s">
        <v>1805</v>
      </c>
      <c r="I1071" s="70" t="s">
        <v>921</v>
      </c>
      <c r="J1071" s="70" t="s">
        <v>1015</v>
      </c>
      <c r="K1071" s="70" t="s">
        <v>259</v>
      </c>
      <c r="L1071" s="70" t="s">
        <v>595</v>
      </c>
      <c r="M1071" s="12" t="s">
        <v>918</v>
      </c>
      <c r="N1071" s="26">
        <v>1</v>
      </c>
      <c r="O1071" s="57">
        <v>127009</v>
      </c>
      <c r="P1071" s="62">
        <f t="shared" si="18"/>
        <v>127009</v>
      </c>
      <c r="Q1071" s="6" t="s">
        <v>395</v>
      </c>
      <c r="R1071" s="6" t="s">
        <v>770</v>
      </c>
      <c r="S1071" s="38">
        <v>591000000</v>
      </c>
      <c r="T1071" s="26">
        <v>0</v>
      </c>
    </row>
    <row r="1072" spans="1:20" ht="89.25" outlineLevel="1">
      <c r="B1072" s="6">
        <v>1056</v>
      </c>
      <c r="C1072" s="36" t="s">
        <v>714</v>
      </c>
      <c r="D1072" s="43" t="s">
        <v>601</v>
      </c>
      <c r="E1072" s="38" t="s">
        <v>919</v>
      </c>
      <c r="F1072" s="70" t="s">
        <v>1804</v>
      </c>
      <c r="G1072" s="70" t="s">
        <v>920</v>
      </c>
      <c r="H1072" s="70" t="s">
        <v>1805</v>
      </c>
      <c r="I1072" s="70" t="s">
        <v>921</v>
      </c>
      <c r="J1072" s="70" t="s">
        <v>1015</v>
      </c>
      <c r="K1072" s="70" t="s">
        <v>259</v>
      </c>
      <c r="L1072" s="70" t="s">
        <v>595</v>
      </c>
      <c r="M1072" s="12" t="s">
        <v>918</v>
      </c>
      <c r="N1072" s="26">
        <v>1</v>
      </c>
      <c r="O1072" s="57">
        <v>127009</v>
      </c>
      <c r="P1072" s="62">
        <f t="shared" si="18"/>
        <v>127009</v>
      </c>
      <c r="Q1072" s="6" t="s">
        <v>505</v>
      </c>
      <c r="R1072" s="6" t="s">
        <v>770</v>
      </c>
      <c r="S1072" s="38" t="s">
        <v>2037</v>
      </c>
      <c r="T1072" s="6">
        <v>30</v>
      </c>
    </row>
    <row r="1073" spans="1:20" ht="178.5" outlineLevel="1">
      <c r="B1073" s="6">
        <v>1057</v>
      </c>
      <c r="C1073" s="36" t="s">
        <v>714</v>
      </c>
      <c r="D1073" s="43" t="s">
        <v>601</v>
      </c>
      <c r="E1073" s="6" t="s">
        <v>515</v>
      </c>
      <c r="F1073" s="70" t="s">
        <v>516</v>
      </c>
      <c r="G1073" s="70" t="s">
        <v>114</v>
      </c>
      <c r="H1073" s="70" t="s">
        <v>517</v>
      </c>
      <c r="I1073" s="70" t="s">
        <v>518</v>
      </c>
      <c r="J1073" s="70" t="s">
        <v>1797</v>
      </c>
      <c r="K1073" s="70" t="s">
        <v>114</v>
      </c>
      <c r="L1073" s="70" t="s">
        <v>595</v>
      </c>
      <c r="M1073" s="12" t="s">
        <v>918</v>
      </c>
      <c r="N1073" s="26">
        <v>1</v>
      </c>
      <c r="O1073" s="57">
        <v>71429</v>
      </c>
      <c r="P1073" s="62">
        <f t="shared" si="18"/>
        <v>71429</v>
      </c>
      <c r="Q1073" s="6" t="s">
        <v>519</v>
      </c>
      <c r="R1073" s="6" t="s">
        <v>770</v>
      </c>
      <c r="S1073" s="38" t="s">
        <v>2038</v>
      </c>
      <c r="T1073" s="26">
        <v>0</v>
      </c>
    </row>
    <row r="1074" spans="1:20" ht="178.5" outlineLevel="1">
      <c r="B1074" s="6">
        <v>1058</v>
      </c>
      <c r="C1074" s="16" t="s">
        <v>714</v>
      </c>
      <c r="D1074" s="6" t="s">
        <v>601</v>
      </c>
      <c r="E1074" s="6" t="s">
        <v>515</v>
      </c>
      <c r="F1074" s="70" t="s">
        <v>516</v>
      </c>
      <c r="G1074" s="70" t="s">
        <v>114</v>
      </c>
      <c r="H1074" s="70" t="s">
        <v>517</v>
      </c>
      <c r="I1074" s="70" t="s">
        <v>518</v>
      </c>
      <c r="J1074" s="70" t="s">
        <v>1797</v>
      </c>
      <c r="K1074" s="70" t="s">
        <v>114</v>
      </c>
      <c r="L1074" s="70" t="s">
        <v>595</v>
      </c>
      <c r="M1074" s="12" t="s">
        <v>918</v>
      </c>
      <c r="N1074" s="26">
        <v>1</v>
      </c>
      <c r="O1074" s="57">
        <v>71429</v>
      </c>
      <c r="P1074" s="62">
        <f t="shared" si="18"/>
        <v>71429</v>
      </c>
      <c r="Q1074" s="38" t="s">
        <v>395</v>
      </c>
      <c r="R1074" s="6" t="s">
        <v>770</v>
      </c>
      <c r="S1074" s="38" t="s">
        <v>1025</v>
      </c>
      <c r="T1074" s="6">
        <v>0</v>
      </c>
    </row>
    <row r="1075" spans="1:20" ht="178.5" outlineLevel="1">
      <c r="B1075" s="6">
        <v>1059</v>
      </c>
      <c r="C1075" s="16" t="s">
        <v>714</v>
      </c>
      <c r="D1075" s="6" t="s">
        <v>601</v>
      </c>
      <c r="E1075" s="6" t="s">
        <v>515</v>
      </c>
      <c r="F1075" s="70" t="s">
        <v>516</v>
      </c>
      <c r="G1075" s="70" t="s">
        <v>114</v>
      </c>
      <c r="H1075" s="70" t="s">
        <v>517</v>
      </c>
      <c r="I1075" s="70" t="s">
        <v>518</v>
      </c>
      <c r="J1075" s="70" t="s">
        <v>1797</v>
      </c>
      <c r="K1075" s="70" t="s">
        <v>114</v>
      </c>
      <c r="L1075" s="70" t="s">
        <v>595</v>
      </c>
      <c r="M1075" s="12" t="s">
        <v>918</v>
      </c>
      <c r="N1075" s="26">
        <v>1</v>
      </c>
      <c r="O1075" s="57">
        <v>71429</v>
      </c>
      <c r="P1075" s="62">
        <f t="shared" si="18"/>
        <v>71429</v>
      </c>
      <c r="Q1075" s="6" t="s">
        <v>870</v>
      </c>
      <c r="R1075" s="6" t="s">
        <v>770</v>
      </c>
      <c r="S1075" s="38" t="s">
        <v>793</v>
      </c>
      <c r="T1075" s="6">
        <v>0</v>
      </c>
    </row>
    <row r="1076" spans="1:20" ht="178.5" outlineLevel="1">
      <c r="B1076" s="6">
        <v>1060</v>
      </c>
      <c r="C1076" s="16" t="s">
        <v>714</v>
      </c>
      <c r="D1076" s="6" t="s">
        <v>601</v>
      </c>
      <c r="E1076" s="6" t="s">
        <v>515</v>
      </c>
      <c r="F1076" s="70" t="s">
        <v>516</v>
      </c>
      <c r="G1076" s="70" t="s">
        <v>114</v>
      </c>
      <c r="H1076" s="70" t="s">
        <v>517</v>
      </c>
      <c r="I1076" s="70" t="s">
        <v>518</v>
      </c>
      <c r="J1076" s="70" t="s">
        <v>1797</v>
      </c>
      <c r="K1076" s="70" t="s">
        <v>114</v>
      </c>
      <c r="L1076" s="70" t="s">
        <v>595</v>
      </c>
      <c r="M1076" s="12" t="s">
        <v>918</v>
      </c>
      <c r="N1076" s="26">
        <v>1</v>
      </c>
      <c r="O1076" s="57">
        <f>P1076/N1076</f>
        <v>0</v>
      </c>
      <c r="P1076" s="62">
        <f>71429-7143-64286</f>
        <v>0</v>
      </c>
      <c r="Q1076" s="6" t="s">
        <v>395</v>
      </c>
      <c r="R1076" s="6" t="s">
        <v>770</v>
      </c>
      <c r="S1076" s="38" t="s">
        <v>2030</v>
      </c>
      <c r="T1076" s="26">
        <v>0</v>
      </c>
    </row>
    <row r="1077" spans="1:20" s="14" customFormat="1" ht="178.5">
      <c r="A1077" s="17"/>
      <c r="B1077" s="6">
        <v>1061</v>
      </c>
      <c r="C1077" s="16" t="s">
        <v>714</v>
      </c>
      <c r="D1077" s="6" t="s">
        <v>601</v>
      </c>
      <c r="E1077" s="6" t="s">
        <v>515</v>
      </c>
      <c r="F1077" s="70" t="s">
        <v>516</v>
      </c>
      <c r="G1077" s="70" t="s">
        <v>114</v>
      </c>
      <c r="H1077" s="70" t="s">
        <v>517</v>
      </c>
      <c r="I1077" s="70" t="s">
        <v>518</v>
      </c>
      <c r="J1077" s="70" t="s">
        <v>1797</v>
      </c>
      <c r="K1077" s="70" t="s">
        <v>114</v>
      </c>
      <c r="L1077" s="70" t="s">
        <v>595</v>
      </c>
      <c r="M1077" s="12" t="s">
        <v>918</v>
      </c>
      <c r="N1077" s="26">
        <v>1</v>
      </c>
      <c r="O1077" s="57">
        <v>71429</v>
      </c>
      <c r="P1077" s="62">
        <f t="shared" si="18"/>
        <v>71429</v>
      </c>
      <c r="Q1077" s="6" t="s">
        <v>505</v>
      </c>
      <c r="R1077" s="6" t="s">
        <v>770</v>
      </c>
      <c r="S1077" s="38" t="s">
        <v>2031</v>
      </c>
      <c r="T1077" s="26">
        <v>100</v>
      </c>
    </row>
    <row r="1078" spans="1:20" ht="178.5" outlineLevel="1">
      <c r="B1078" s="6">
        <v>1062</v>
      </c>
      <c r="C1078" s="16" t="s">
        <v>714</v>
      </c>
      <c r="D1078" s="6" t="s">
        <v>601</v>
      </c>
      <c r="E1078" s="6" t="s">
        <v>515</v>
      </c>
      <c r="F1078" s="70" t="s">
        <v>516</v>
      </c>
      <c r="G1078" s="70" t="s">
        <v>114</v>
      </c>
      <c r="H1078" s="70" t="s">
        <v>517</v>
      </c>
      <c r="I1078" s="70" t="s">
        <v>518</v>
      </c>
      <c r="J1078" s="70" t="s">
        <v>1797</v>
      </c>
      <c r="K1078" s="70" t="s">
        <v>114</v>
      </c>
      <c r="L1078" s="70" t="s">
        <v>595</v>
      </c>
      <c r="M1078" s="12" t="s">
        <v>918</v>
      </c>
      <c r="N1078" s="26">
        <v>1</v>
      </c>
      <c r="O1078" s="57">
        <v>71429</v>
      </c>
      <c r="P1078" s="62">
        <f t="shared" si="18"/>
        <v>71429</v>
      </c>
      <c r="Q1078" s="6" t="s">
        <v>519</v>
      </c>
      <c r="R1078" s="6" t="s">
        <v>770</v>
      </c>
      <c r="S1078" s="38" t="s">
        <v>637</v>
      </c>
      <c r="T1078" s="26">
        <v>100</v>
      </c>
    </row>
    <row r="1079" spans="1:20" ht="178.5" outlineLevel="1">
      <c r="B1079" s="6">
        <v>1063</v>
      </c>
      <c r="C1079" s="16" t="s">
        <v>714</v>
      </c>
      <c r="D1079" s="6" t="s">
        <v>601</v>
      </c>
      <c r="E1079" s="6" t="s">
        <v>515</v>
      </c>
      <c r="F1079" s="70" t="s">
        <v>516</v>
      </c>
      <c r="G1079" s="70" t="s">
        <v>114</v>
      </c>
      <c r="H1079" s="70" t="s">
        <v>517</v>
      </c>
      <c r="I1079" s="70" t="s">
        <v>518</v>
      </c>
      <c r="J1079" s="70" t="s">
        <v>1797</v>
      </c>
      <c r="K1079" s="70" t="s">
        <v>114</v>
      </c>
      <c r="L1079" s="70" t="s">
        <v>595</v>
      </c>
      <c r="M1079" s="12" t="s">
        <v>918</v>
      </c>
      <c r="N1079" s="26">
        <v>1</v>
      </c>
      <c r="O1079" s="57">
        <v>71429</v>
      </c>
      <c r="P1079" s="62">
        <f t="shared" si="18"/>
        <v>71429</v>
      </c>
      <c r="Q1079" s="6" t="s">
        <v>506</v>
      </c>
      <c r="R1079" s="6" t="s">
        <v>770</v>
      </c>
      <c r="S1079" s="38">
        <v>311000000</v>
      </c>
      <c r="T1079" s="26">
        <v>0</v>
      </c>
    </row>
    <row r="1080" spans="1:20" ht="178.5" outlineLevel="1">
      <c r="B1080" s="6">
        <v>1064</v>
      </c>
      <c r="C1080" s="16" t="s">
        <v>714</v>
      </c>
      <c r="D1080" s="6" t="s">
        <v>601</v>
      </c>
      <c r="E1080" s="6" t="s">
        <v>515</v>
      </c>
      <c r="F1080" s="70" t="s">
        <v>516</v>
      </c>
      <c r="G1080" s="70" t="s">
        <v>114</v>
      </c>
      <c r="H1080" s="70" t="s">
        <v>517</v>
      </c>
      <c r="I1080" s="70" t="s">
        <v>518</v>
      </c>
      <c r="J1080" s="70" t="s">
        <v>1797</v>
      </c>
      <c r="K1080" s="70" t="s">
        <v>114</v>
      </c>
      <c r="L1080" s="70" t="s">
        <v>595</v>
      </c>
      <c r="M1080" s="12" t="s">
        <v>918</v>
      </c>
      <c r="N1080" s="26">
        <v>1</v>
      </c>
      <c r="O1080" s="57">
        <v>71429</v>
      </c>
      <c r="P1080" s="62">
        <f t="shared" si="18"/>
        <v>71429</v>
      </c>
      <c r="Q1080" s="6" t="s">
        <v>397</v>
      </c>
      <c r="R1080" s="6" t="s">
        <v>770</v>
      </c>
      <c r="S1080" s="38" t="s">
        <v>2032</v>
      </c>
      <c r="T1080" s="6">
        <v>0</v>
      </c>
    </row>
    <row r="1081" spans="1:20" ht="178.5" outlineLevel="1">
      <c r="B1081" s="6">
        <v>1065</v>
      </c>
      <c r="C1081" s="16" t="s">
        <v>714</v>
      </c>
      <c r="D1081" s="6" t="s">
        <v>601</v>
      </c>
      <c r="E1081" s="6" t="s">
        <v>515</v>
      </c>
      <c r="F1081" s="70" t="s">
        <v>516</v>
      </c>
      <c r="G1081" s="70" t="s">
        <v>114</v>
      </c>
      <c r="H1081" s="70" t="s">
        <v>517</v>
      </c>
      <c r="I1081" s="70" t="s">
        <v>518</v>
      </c>
      <c r="J1081" s="70" t="s">
        <v>1797</v>
      </c>
      <c r="K1081" s="70" t="s">
        <v>114</v>
      </c>
      <c r="L1081" s="70" t="s">
        <v>595</v>
      </c>
      <c r="M1081" s="12" t="s">
        <v>918</v>
      </c>
      <c r="N1081" s="26">
        <v>1</v>
      </c>
      <c r="O1081" s="57">
        <v>71429</v>
      </c>
      <c r="P1081" s="62">
        <f t="shared" si="18"/>
        <v>71429</v>
      </c>
      <c r="Q1081" s="6" t="s">
        <v>395</v>
      </c>
      <c r="R1081" s="6" t="s">
        <v>770</v>
      </c>
      <c r="S1081" s="38">
        <v>351000000</v>
      </c>
      <c r="T1081" s="26">
        <v>30</v>
      </c>
    </row>
    <row r="1082" spans="1:20" ht="178.5" outlineLevel="1">
      <c r="B1082" s="6">
        <v>1066</v>
      </c>
      <c r="C1082" s="16" t="s">
        <v>714</v>
      </c>
      <c r="D1082" s="6" t="s">
        <v>601</v>
      </c>
      <c r="E1082" s="6" t="s">
        <v>515</v>
      </c>
      <c r="F1082" s="70" t="s">
        <v>516</v>
      </c>
      <c r="G1082" s="70" t="s">
        <v>114</v>
      </c>
      <c r="H1082" s="70" t="s">
        <v>517</v>
      </c>
      <c r="I1082" s="70" t="s">
        <v>518</v>
      </c>
      <c r="J1082" s="70" t="s">
        <v>1797</v>
      </c>
      <c r="K1082" s="70" t="s">
        <v>114</v>
      </c>
      <c r="L1082" s="70" t="s">
        <v>595</v>
      </c>
      <c r="M1082" s="12" t="s">
        <v>918</v>
      </c>
      <c r="N1082" s="26">
        <v>1</v>
      </c>
      <c r="O1082" s="57">
        <f>P1082/N1082</f>
        <v>0</v>
      </c>
      <c r="P1082" s="62">
        <f>71429-71429</f>
        <v>0</v>
      </c>
      <c r="Q1082" s="6" t="s">
        <v>590</v>
      </c>
      <c r="R1082" s="15" t="s">
        <v>1479</v>
      </c>
      <c r="S1082" s="38" t="s">
        <v>929</v>
      </c>
      <c r="T1082" s="26">
        <v>50</v>
      </c>
    </row>
    <row r="1083" spans="1:20" ht="178.5" outlineLevel="1">
      <c r="B1083" s="6">
        <v>1067</v>
      </c>
      <c r="C1083" s="16" t="s">
        <v>714</v>
      </c>
      <c r="D1083" s="6" t="s">
        <v>601</v>
      </c>
      <c r="E1083" s="6" t="s">
        <v>515</v>
      </c>
      <c r="F1083" s="70" t="s">
        <v>516</v>
      </c>
      <c r="G1083" s="70" t="s">
        <v>114</v>
      </c>
      <c r="H1083" s="70" t="s">
        <v>517</v>
      </c>
      <c r="I1083" s="70" t="s">
        <v>518</v>
      </c>
      <c r="J1083" s="70" t="s">
        <v>1797</v>
      </c>
      <c r="K1083" s="70" t="s">
        <v>114</v>
      </c>
      <c r="L1083" s="70" t="s">
        <v>595</v>
      </c>
      <c r="M1083" s="12" t="s">
        <v>918</v>
      </c>
      <c r="N1083" s="26">
        <v>1</v>
      </c>
      <c r="O1083" s="57">
        <v>71429</v>
      </c>
      <c r="P1083" s="62">
        <f t="shared" si="18"/>
        <v>71429</v>
      </c>
      <c r="Q1083" s="6" t="s">
        <v>519</v>
      </c>
      <c r="R1083" s="15" t="s">
        <v>1479</v>
      </c>
      <c r="S1083" s="38">
        <v>431000000</v>
      </c>
      <c r="T1083" s="26">
        <v>0</v>
      </c>
    </row>
    <row r="1084" spans="1:20" ht="178.5" outlineLevel="1">
      <c r="B1084" s="6">
        <v>1068</v>
      </c>
      <c r="C1084" s="36" t="s">
        <v>714</v>
      </c>
      <c r="D1084" s="43" t="s">
        <v>601</v>
      </c>
      <c r="E1084" s="6" t="s">
        <v>515</v>
      </c>
      <c r="F1084" s="70" t="s">
        <v>516</v>
      </c>
      <c r="G1084" s="70" t="s">
        <v>114</v>
      </c>
      <c r="H1084" s="70" t="s">
        <v>517</v>
      </c>
      <c r="I1084" s="70" t="s">
        <v>518</v>
      </c>
      <c r="J1084" s="70" t="s">
        <v>1797</v>
      </c>
      <c r="K1084" s="70" t="s">
        <v>114</v>
      </c>
      <c r="L1084" s="70" t="s">
        <v>595</v>
      </c>
      <c r="M1084" s="12" t="s">
        <v>918</v>
      </c>
      <c r="N1084" s="26">
        <v>1</v>
      </c>
      <c r="O1084" s="57">
        <v>71429</v>
      </c>
      <c r="P1084" s="62">
        <f t="shared" si="18"/>
        <v>71429</v>
      </c>
      <c r="Q1084" s="6" t="s">
        <v>505</v>
      </c>
      <c r="R1084" s="6" t="s">
        <v>770</v>
      </c>
      <c r="S1084" s="38" t="s">
        <v>719</v>
      </c>
      <c r="T1084" s="26">
        <v>0</v>
      </c>
    </row>
    <row r="1085" spans="1:20" s="39" customFormat="1" ht="178.5">
      <c r="B1085" s="6">
        <v>1069</v>
      </c>
      <c r="C1085" s="16" t="s">
        <v>714</v>
      </c>
      <c r="D1085" s="6" t="s">
        <v>601</v>
      </c>
      <c r="E1085" s="6" t="s">
        <v>515</v>
      </c>
      <c r="F1085" s="70" t="s">
        <v>516</v>
      </c>
      <c r="G1085" s="70" t="s">
        <v>114</v>
      </c>
      <c r="H1085" s="70" t="s">
        <v>517</v>
      </c>
      <c r="I1085" s="70" t="s">
        <v>518</v>
      </c>
      <c r="J1085" s="70" t="s">
        <v>1797</v>
      </c>
      <c r="K1085" s="70" t="s">
        <v>114</v>
      </c>
      <c r="L1085" s="70" t="s">
        <v>595</v>
      </c>
      <c r="M1085" s="12" t="s">
        <v>918</v>
      </c>
      <c r="N1085" s="26">
        <v>1</v>
      </c>
      <c r="O1085" s="57">
        <f>P1085/N1085</f>
        <v>0</v>
      </c>
      <c r="P1085" s="62">
        <f>71429-71429</f>
        <v>0</v>
      </c>
      <c r="Q1085" s="6" t="s">
        <v>519</v>
      </c>
      <c r="R1085" s="6" t="s">
        <v>505</v>
      </c>
      <c r="S1085" s="38">
        <v>551000000</v>
      </c>
      <c r="T1085" s="26">
        <v>30</v>
      </c>
    </row>
    <row r="1086" spans="1:20" ht="164.25" customHeight="1" outlineLevel="1">
      <c r="B1086" s="6">
        <v>1070</v>
      </c>
      <c r="C1086" s="16" t="s">
        <v>945</v>
      </c>
      <c r="D1086" s="6" t="s">
        <v>601</v>
      </c>
      <c r="E1086" s="6" t="s">
        <v>515</v>
      </c>
      <c r="F1086" s="70" t="s">
        <v>516</v>
      </c>
      <c r="G1086" s="70" t="s">
        <v>114</v>
      </c>
      <c r="H1086" s="70" t="s">
        <v>517</v>
      </c>
      <c r="I1086" s="70" t="s">
        <v>518</v>
      </c>
      <c r="J1086" s="70" t="s">
        <v>1797</v>
      </c>
      <c r="K1086" s="70" t="s">
        <v>114</v>
      </c>
      <c r="L1086" s="70" t="s">
        <v>595</v>
      </c>
      <c r="M1086" s="12" t="s">
        <v>918</v>
      </c>
      <c r="N1086" s="26">
        <v>1</v>
      </c>
      <c r="O1086" s="57">
        <v>71429</v>
      </c>
      <c r="P1086" s="62">
        <f t="shared" si="18"/>
        <v>71429</v>
      </c>
      <c r="Q1086" s="6" t="s">
        <v>870</v>
      </c>
      <c r="R1086" s="6" t="s">
        <v>770</v>
      </c>
      <c r="S1086" s="38">
        <v>591000000</v>
      </c>
      <c r="T1086" s="26">
        <v>30</v>
      </c>
    </row>
    <row r="1087" spans="1:20" ht="165" customHeight="1" outlineLevel="1">
      <c r="B1087" s="6">
        <v>1071</v>
      </c>
      <c r="C1087" s="16" t="s">
        <v>714</v>
      </c>
      <c r="D1087" s="6" t="s">
        <v>601</v>
      </c>
      <c r="E1087" s="6" t="s">
        <v>515</v>
      </c>
      <c r="F1087" s="70" t="s">
        <v>516</v>
      </c>
      <c r="G1087" s="70" t="s">
        <v>114</v>
      </c>
      <c r="H1087" s="70" t="s">
        <v>517</v>
      </c>
      <c r="I1087" s="70" t="s">
        <v>518</v>
      </c>
      <c r="J1087" s="70" t="s">
        <v>1797</v>
      </c>
      <c r="K1087" s="70" t="s">
        <v>114</v>
      </c>
      <c r="L1087" s="70" t="s">
        <v>595</v>
      </c>
      <c r="M1087" s="12" t="s">
        <v>918</v>
      </c>
      <c r="N1087" s="26">
        <v>1</v>
      </c>
      <c r="O1087" s="57">
        <f>P1087</f>
        <v>0</v>
      </c>
      <c r="P1087" s="62">
        <f>71429-71429</f>
        <v>0</v>
      </c>
      <c r="Q1087" s="6" t="s">
        <v>505</v>
      </c>
      <c r="R1087" s="6" t="s">
        <v>770</v>
      </c>
      <c r="S1087" s="38" t="s">
        <v>2037</v>
      </c>
      <c r="T1087" s="6">
        <v>0</v>
      </c>
    </row>
    <row r="1088" spans="1:20" ht="63.75" outlineLevel="1">
      <c r="B1088" s="6">
        <v>1072</v>
      </c>
      <c r="C1088" s="16" t="s">
        <v>714</v>
      </c>
      <c r="D1088" s="6" t="s">
        <v>601</v>
      </c>
      <c r="E1088" s="6" t="s">
        <v>520</v>
      </c>
      <c r="F1088" s="70" t="s">
        <v>521</v>
      </c>
      <c r="G1088" s="70" t="s">
        <v>522</v>
      </c>
      <c r="H1088" s="70" t="s">
        <v>521</v>
      </c>
      <c r="I1088" s="70" t="s">
        <v>522</v>
      </c>
      <c r="J1088" s="70" t="s">
        <v>1806</v>
      </c>
      <c r="K1088" s="70" t="s">
        <v>46</v>
      </c>
      <c r="L1088" s="70" t="s">
        <v>1489</v>
      </c>
      <c r="M1088" s="12" t="s">
        <v>918</v>
      </c>
      <c r="N1088" s="26">
        <v>1</v>
      </c>
      <c r="O1088" s="57">
        <v>3571429</v>
      </c>
      <c r="P1088" s="62">
        <f t="shared" ref="P1088:P1138" si="19">N1088*O1088</f>
        <v>3571429</v>
      </c>
      <c r="Q1088" s="6" t="s">
        <v>616</v>
      </c>
      <c r="R1088" s="6" t="s">
        <v>770</v>
      </c>
      <c r="S1088" s="38" t="s">
        <v>1179</v>
      </c>
      <c r="T1088" s="26">
        <v>0</v>
      </c>
    </row>
    <row r="1089" spans="1:20" ht="63.75" outlineLevel="1">
      <c r="B1089" s="6">
        <v>1073</v>
      </c>
      <c r="C1089" s="16" t="s">
        <v>714</v>
      </c>
      <c r="D1089" s="6" t="s">
        <v>601</v>
      </c>
      <c r="E1089" s="6" t="s">
        <v>520</v>
      </c>
      <c r="F1089" s="70" t="s">
        <v>521</v>
      </c>
      <c r="G1089" s="70" t="s">
        <v>2384</v>
      </c>
      <c r="H1089" s="70" t="s">
        <v>521</v>
      </c>
      <c r="I1089" s="70" t="s">
        <v>2384</v>
      </c>
      <c r="J1089" s="70" t="s">
        <v>1807</v>
      </c>
      <c r="K1089" s="70" t="s">
        <v>47</v>
      </c>
      <c r="L1089" s="70" t="s">
        <v>595</v>
      </c>
      <c r="M1089" s="12" t="s">
        <v>918</v>
      </c>
      <c r="N1089" s="26">
        <v>1</v>
      </c>
      <c r="O1089" s="57">
        <v>1428571</v>
      </c>
      <c r="P1089" s="62">
        <f t="shared" si="19"/>
        <v>1428571</v>
      </c>
      <c r="Q1089" s="6" t="s">
        <v>397</v>
      </c>
      <c r="R1089" s="6" t="s">
        <v>770</v>
      </c>
      <c r="S1089" s="38" t="s">
        <v>1179</v>
      </c>
      <c r="T1089" s="26">
        <v>0</v>
      </c>
    </row>
    <row r="1090" spans="1:20" ht="51" outlineLevel="1">
      <c r="B1090" s="6">
        <v>1074</v>
      </c>
      <c r="C1090" s="36" t="s">
        <v>714</v>
      </c>
      <c r="D1090" s="43" t="s">
        <v>601</v>
      </c>
      <c r="E1090" s="12" t="s">
        <v>704</v>
      </c>
      <c r="F1090" s="70" t="s">
        <v>2272</v>
      </c>
      <c r="G1090" s="70" t="s">
        <v>705</v>
      </c>
      <c r="H1090" s="70" t="s">
        <v>2272</v>
      </c>
      <c r="I1090" s="70" t="s">
        <v>705</v>
      </c>
      <c r="J1090" s="70" t="s">
        <v>2273</v>
      </c>
      <c r="K1090" s="70" t="s">
        <v>120</v>
      </c>
      <c r="L1090" s="70" t="s">
        <v>595</v>
      </c>
      <c r="M1090" s="12" t="s">
        <v>918</v>
      </c>
      <c r="N1090" s="26">
        <v>1</v>
      </c>
      <c r="O1090" s="57">
        <v>642857</v>
      </c>
      <c r="P1090" s="62">
        <f t="shared" si="19"/>
        <v>642857</v>
      </c>
      <c r="Q1090" s="6" t="s">
        <v>397</v>
      </c>
      <c r="R1090" s="6" t="s">
        <v>770</v>
      </c>
      <c r="S1090" s="38" t="s">
        <v>2038</v>
      </c>
      <c r="T1090" s="26">
        <v>0</v>
      </c>
    </row>
    <row r="1091" spans="1:20" ht="51" outlineLevel="1">
      <c r="B1091" s="6">
        <v>1075</v>
      </c>
      <c r="C1091" s="36" t="s">
        <v>714</v>
      </c>
      <c r="D1091" s="43" t="s">
        <v>601</v>
      </c>
      <c r="E1091" s="12" t="s">
        <v>704</v>
      </c>
      <c r="F1091" s="70" t="s">
        <v>2272</v>
      </c>
      <c r="G1091" s="70" t="s">
        <v>705</v>
      </c>
      <c r="H1091" s="70" t="s">
        <v>2272</v>
      </c>
      <c r="I1091" s="70" t="s">
        <v>705</v>
      </c>
      <c r="J1091" s="70" t="s">
        <v>2273</v>
      </c>
      <c r="K1091" s="70" t="s">
        <v>120</v>
      </c>
      <c r="L1091" s="70" t="s">
        <v>595</v>
      </c>
      <c r="M1091" s="12" t="s">
        <v>918</v>
      </c>
      <c r="N1091" s="26">
        <v>1</v>
      </c>
      <c r="O1091" s="57">
        <v>642857</v>
      </c>
      <c r="P1091" s="62">
        <f t="shared" si="19"/>
        <v>642857</v>
      </c>
      <c r="Q1091" s="6" t="s">
        <v>397</v>
      </c>
      <c r="R1091" s="6" t="s">
        <v>770</v>
      </c>
      <c r="S1091" s="38" t="s">
        <v>1025</v>
      </c>
      <c r="T1091" s="6">
        <v>100</v>
      </c>
    </row>
    <row r="1092" spans="1:20" ht="51" outlineLevel="1">
      <c r="B1092" s="6">
        <v>1076</v>
      </c>
      <c r="C1092" s="36" t="s">
        <v>714</v>
      </c>
      <c r="D1092" s="43" t="s">
        <v>601</v>
      </c>
      <c r="E1092" s="12" t="s">
        <v>704</v>
      </c>
      <c r="F1092" s="70" t="s">
        <v>2272</v>
      </c>
      <c r="G1092" s="70" t="s">
        <v>705</v>
      </c>
      <c r="H1092" s="70" t="s">
        <v>2272</v>
      </c>
      <c r="I1092" s="70" t="s">
        <v>705</v>
      </c>
      <c r="J1092" s="70" t="s">
        <v>2273</v>
      </c>
      <c r="K1092" s="70" t="s">
        <v>120</v>
      </c>
      <c r="L1092" s="70" t="s">
        <v>595</v>
      </c>
      <c r="M1092" s="12" t="s">
        <v>918</v>
      </c>
      <c r="N1092" s="26">
        <v>1</v>
      </c>
      <c r="O1092" s="57">
        <v>642857</v>
      </c>
      <c r="P1092" s="62">
        <f t="shared" si="19"/>
        <v>642857</v>
      </c>
      <c r="Q1092" s="6" t="s">
        <v>505</v>
      </c>
      <c r="R1092" s="6" t="s">
        <v>770</v>
      </c>
      <c r="S1092" s="38" t="s">
        <v>793</v>
      </c>
      <c r="T1092" s="6">
        <v>0</v>
      </c>
    </row>
    <row r="1093" spans="1:20" ht="51" outlineLevel="1">
      <c r="A1093" s="61"/>
      <c r="B1093" s="6">
        <v>1077</v>
      </c>
      <c r="C1093" s="36" t="s">
        <v>714</v>
      </c>
      <c r="D1093" s="43" t="s">
        <v>601</v>
      </c>
      <c r="E1093" s="12" t="s">
        <v>704</v>
      </c>
      <c r="F1093" s="70" t="s">
        <v>2272</v>
      </c>
      <c r="G1093" s="70" t="s">
        <v>705</v>
      </c>
      <c r="H1093" s="70" t="s">
        <v>2272</v>
      </c>
      <c r="I1093" s="70" t="s">
        <v>705</v>
      </c>
      <c r="J1093" s="70" t="s">
        <v>2273</v>
      </c>
      <c r="K1093" s="70" t="s">
        <v>120</v>
      </c>
      <c r="L1093" s="70" t="s">
        <v>595</v>
      </c>
      <c r="M1093" s="12" t="s">
        <v>918</v>
      </c>
      <c r="N1093" s="26">
        <v>1</v>
      </c>
      <c r="O1093" s="57">
        <v>1004464</v>
      </c>
      <c r="P1093" s="62">
        <f t="shared" si="19"/>
        <v>1004464</v>
      </c>
      <c r="Q1093" s="6" t="s">
        <v>397</v>
      </c>
      <c r="R1093" s="6" t="s">
        <v>770</v>
      </c>
      <c r="S1093" s="38" t="s">
        <v>2035</v>
      </c>
      <c r="T1093" s="26">
        <v>100</v>
      </c>
    </row>
    <row r="1094" spans="1:20" ht="51" outlineLevel="1">
      <c r="B1094" s="6">
        <v>1078</v>
      </c>
      <c r="C1094" s="36" t="s">
        <v>714</v>
      </c>
      <c r="D1094" s="43" t="s">
        <v>601</v>
      </c>
      <c r="E1094" s="12" t="s">
        <v>704</v>
      </c>
      <c r="F1094" s="70" t="s">
        <v>2272</v>
      </c>
      <c r="G1094" s="70" t="s">
        <v>705</v>
      </c>
      <c r="H1094" s="70" t="s">
        <v>2272</v>
      </c>
      <c r="I1094" s="70" t="s">
        <v>705</v>
      </c>
      <c r="J1094" s="70" t="s">
        <v>2273</v>
      </c>
      <c r="K1094" s="70" t="s">
        <v>120</v>
      </c>
      <c r="L1094" s="70" t="s">
        <v>595</v>
      </c>
      <c r="M1094" s="12" t="s">
        <v>918</v>
      </c>
      <c r="N1094" s="26">
        <v>1</v>
      </c>
      <c r="O1094" s="57">
        <v>642857</v>
      </c>
      <c r="P1094" s="62">
        <f t="shared" si="19"/>
        <v>642857</v>
      </c>
      <c r="Q1094" s="6" t="s">
        <v>397</v>
      </c>
      <c r="R1094" s="6" t="s">
        <v>770</v>
      </c>
      <c r="S1094" s="38" t="s">
        <v>2030</v>
      </c>
      <c r="T1094" s="26">
        <v>100</v>
      </c>
    </row>
    <row r="1095" spans="1:20" s="14" customFormat="1" ht="51">
      <c r="A1095" s="17"/>
      <c r="B1095" s="6">
        <v>1079</v>
      </c>
      <c r="C1095" s="36" t="s">
        <v>714</v>
      </c>
      <c r="D1095" s="43" t="s">
        <v>601</v>
      </c>
      <c r="E1095" s="12" t="s">
        <v>704</v>
      </c>
      <c r="F1095" s="70" t="s">
        <v>2272</v>
      </c>
      <c r="G1095" s="70" t="s">
        <v>705</v>
      </c>
      <c r="H1095" s="70" t="s">
        <v>2272</v>
      </c>
      <c r="I1095" s="70" t="s">
        <v>705</v>
      </c>
      <c r="J1095" s="70" t="s">
        <v>2273</v>
      </c>
      <c r="K1095" s="70" t="s">
        <v>120</v>
      </c>
      <c r="L1095" s="70" t="s">
        <v>595</v>
      </c>
      <c r="M1095" s="12" t="s">
        <v>918</v>
      </c>
      <c r="N1095" s="26">
        <v>1</v>
      </c>
      <c r="O1095" s="57">
        <v>642857</v>
      </c>
      <c r="P1095" s="62">
        <f t="shared" si="19"/>
        <v>642857</v>
      </c>
      <c r="Q1095" s="6" t="s">
        <v>397</v>
      </c>
      <c r="R1095" s="6" t="s">
        <v>770</v>
      </c>
      <c r="S1095" s="38" t="s">
        <v>2031</v>
      </c>
      <c r="T1095" s="26">
        <v>100</v>
      </c>
    </row>
    <row r="1096" spans="1:20" ht="51" outlineLevel="1">
      <c r="B1096" s="6">
        <v>1080</v>
      </c>
      <c r="C1096" s="36" t="s">
        <v>714</v>
      </c>
      <c r="D1096" s="43" t="s">
        <v>601</v>
      </c>
      <c r="E1096" s="12" t="s">
        <v>704</v>
      </c>
      <c r="F1096" s="70" t="s">
        <v>2272</v>
      </c>
      <c r="G1096" s="70" t="s">
        <v>705</v>
      </c>
      <c r="H1096" s="70" t="s">
        <v>2272</v>
      </c>
      <c r="I1096" s="70" t="s">
        <v>705</v>
      </c>
      <c r="J1096" s="70" t="s">
        <v>2273</v>
      </c>
      <c r="K1096" s="70" t="s">
        <v>120</v>
      </c>
      <c r="L1096" s="70" t="s">
        <v>595</v>
      </c>
      <c r="M1096" s="12" t="s">
        <v>918</v>
      </c>
      <c r="N1096" s="26">
        <v>1</v>
      </c>
      <c r="O1096" s="57">
        <v>642857</v>
      </c>
      <c r="P1096" s="62">
        <f t="shared" si="19"/>
        <v>642857</v>
      </c>
      <c r="Q1096" s="6" t="s">
        <v>397</v>
      </c>
      <c r="R1096" s="6" t="s">
        <v>770</v>
      </c>
      <c r="S1096" s="38" t="s">
        <v>637</v>
      </c>
      <c r="T1096" s="26">
        <v>30</v>
      </c>
    </row>
    <row r="1097" spans="1:20" ht="51" outlineLevel="1">
      <c r="B1097" s="6">
        <v>1081</v>
      </c>
      <c r="C1097" s="36" t="s">
        <v>714</v>
      </c>
      <c r="D1097" s="43" t="s">
        <v>601</v>
      </c>
      <c r="E1097" s="12" t="s">
        <v>704</v>
      </c>
      <c r="F1097" s="70" t="s">
        <v>2272</v>
      </c>
      <c r="G1097" s="70" t="s">
        <v>705</v>
      </c>
      <c r="H1097" s="70" t="s">
        <v>2272</v>
      </c>
      <c r="I1097" s="70" t="s">
        <v>705</v>
      </c>
      <c r="J1097" s="70" t="s">
        <v>2273</v>
      </c>
      <c r="K1097" s="70" t="s">
        <v>120</v>
      </c>
      <c r="L1097" s="70" t="s">
        <v>595</v>
      </c>
      <c r="M1097" s="12" t="s">
        <v>918</v>
      </c>
      <c r="N1097" s="26">
        <v>1</v>
      </c>
      <c r="O1097" s="57">
        <v>642857</v>
      </c>
      <c r="P1097" s="62">
        <f t="shared" si="19"/>
        <v>642857</v>
      </c>
      <c r="Q1097" s="6" t="s">
        <v>397</v>
      </c>
      <c r="R1097" s="6" t="s">
        <v>770</v>
      </c>
      <c r="S1097" s="38">
        <v>311000000</v>
      </c>
      <c r="T1097" s="26">
        <v>0</v>
      </c>
    </row>
    <row r="1098" spans="1:20" ht="51" outlineLevel="1">
      <c r="B1098" s="6">
        <v>1082</v>
      </c>
      <c r="C1098" s="36" t="s">
        <v>714</v>
      </c>
      <c r="D1098" s="43" t="s">
        <v>601</v>
      </c>
      <c r="E1098" s="12" t="s">
        <v>704</v>
      </c>
      <c r="F1098" s="70" t="s">
        <v>2272</v>
      </c>
      <c r="G1098" s="70" t="s">
        <v>705</v>
      </c>
      <c r="H1098" s="70" t="s">
        <v>2272</v>
      </c>
      <c r="I1098" s="70" t="s">
        <v>705</v>
      </c>
      <c r="J1098" s="70" t="s">
        <v>2273</v>
      </c>
      <c r="K1098" s="70" t="s">
        <v>120</v>
      </c>
      <c r="L1098" s="70" t="s">
        <v>595</v>
      </c>
      <c r="M1098" s="12" t="s">
        <v>918</v>
      </c>
      <c r="N1098" s="26">
        <v>1</v>
      </c>
      <c r="O1098" s="57">
        <v>642857</v>
      </c>
      <c r="P1098" s="62">
        <f t="shared" si="19"/>
        <v>642857</v>
      </c>
      <c r="Q1098" s="6" t="s">
        <v>397</v>
      </c>
      <c r="R1098" s="6" t="s">
        <v>770</v>
      </c>
      <c r="S1098" s="38" t="s">
        <v>2032</v>
      </c>
      <c r="T1098" s="6">
        <v>30</v>
      </c>
    </row>
    <row r="1099" spans="1:20" ht="51" outlineLevel="1">
      <c r="B1099" s="6">
        <v>1083</v>
      </c>
      <c r="C1099" s="36" t="s">
        <v>714</v>
      </c>
      <c r="D1099" s="43" t="s">
        <v>601</v>
      </c>
      <c r="E1099" s="12" t="s">
        <v>704</v>
      </c>
      <c r="F1099" s="70" t="s">
        <v>2272</v>
      </c>
      <c r="G1099" s="70" t="s">
        <v>705</v>
      </c>
      <c r="H1099" s="70" t="s">
        <v>2272</v>
      </c>
      <c r="I1099" s="70" t="s">
        <v>705</v>
      </c>
      <c r="J1099" s="70" t="s">
        <v>2273</v>
      </c>
      <c r="K1099" s="70" t="s">
        <v>120</v>
      </c>
      <c r="L1099" s="70" t="s">
        <v>595</v>
      </c>
      <c r="M1099" s="12" t="s">
        <v>918</v>
      </c>
      <c r="N1099" s="26">
        <v>1</v>
      </c>
      <c r="O1099" s="57">
        <v>642857</v>
      </c>
      <c r="P1099" s="62">
        <f t="shared" si="19"/>
        <v>642857</v>
      </c>
      <c r="Q1099" s="6" t="s">
        <v>397</v>
      </c>
      <c r="R1099" s="6" t="s">
        <v>770</v>
      </c>
      <c r="S1099" s="38">
        <v>351000000</v>
      </c>
      <c r="T1099" s="26">
        <v>100</v>
      </c>
    </row>
    <row r="1100" spans="1:20" ht="51" outlineLevel="1">
      <c r="B1100" s="6">
        <v>1084</v>
      </c>
      <c r="C1100" s="36" t="s">
        <v>714</v>
      </c>
      <c r="D1100" s="43" t="s">
        <v>601</v>
      </c>
      <c r="E1100" s="12" t="s">
        <v>704</v>
      </c>
      <c r="F1100" s="70" t="s">
        <v>2272</v>
      </c>
      <c r="G1100" s="70" t="s">
        <v>705</v>
      </c>
      <c r="H1100" s="70" t="s">
        <v>2272</v>
      </c>
      <c r="I1100" s="70" t="s">
        <v>705</v>
      </c>
      <c r="J1100" s="70" t="s">
        <v>2273</v>
      </c>
      <c r="K1100" s="70" t="s">
        <v>120</v>
      </c>
      <c r="L1100" s="70" t="s">
        <v>595</v>
      </c>
      <c r="M1100" s="12" t="s">
        <v>918</v>
      </c>
      <c r="N1100" s="26">
        <v>1</v>
      </c>
      <c r="O1100" s="57">
        <v>642857</v>
      </c>
      <c r="P1100" s="62">
        <f t="shared" si="19"/>
        <v>642857</v>
      </c>
      <c r="Q1100" s="6" t="s">
        <v>397</v>
      </c>
      <c r="R1100" s="6" t="s">
        <v>770</v>
      </c>
      <c r="S1100" s="38" t="s">
        <v>929</v>
      </c>
      <c r="T1100" s="26">
        <v>0</v>
      </c>
    </row>
    <row r="1101" spans="1:20" ht="51" outlineLevel="1">
      <c r="B1101" s="6">
        <v>1085</v>
      </c>
      <c r="C1101" s="36" t="s">
        <v>714</v>
      </c>
      <c r="D1101" s="43" t="s">
        <v>601</v>
      </c>
      <c r="E1101" s="12" t="s">
        <v>704</v>
      </c>
      <c r="F1101" s="70" t="s">
        <v>2272</v>
      </c>
      <c r="G1101" s="70" t="s">
        <v>705</v>
      </c>
      <c r="H1101" s="70" t="s">
        <v>2272</v>
      </c>
      <c r="I1101" s="70" t="s">
        <v>705</v>
      </c>
      <c r="J1101" s="70" t="s">
        <v>2273</v>
      </c>
      <c r="K1101" s="70" t="s">
        <v>120</v>
      </c>
      <c r="L1101" s="70" t="s">
        <v>595</v>
      </c>
      <c r="M1101" s="12" t="s">
        <v>918</v>
      </c>
      <c r="N1101" s="26">
        <v>1</v>
      </c>
      <c r="O1101" s="57">
        <v>508929</v>
      </c>
      <c r="P1101" s="62">
        <f t="shared" si="19"/>
        <v>508929</v>
      </c>
      <c r="Q1101" s="6" t="s">
        <v>397</v>
      </c>
      <c r="R1101" s="6" t="s">
        <v>398</v>
      </c>
      <c r="S1101" s="38">
        <v>431000000</v>
      </c>
      <c r="T1101" s="26">
        <v>100</v>
      </c>
    </row>
    <row r="1102" spans="1:20" ht="51" outlineLevel="1">
      <c r="B1102" s="6">
        <v>1086</v>
      </c>
      <c r="C1102" s="36" t="s">
        <v>714</v>
      </c>
      <c r="D1102" s="43" t="s">
        <v>601</v>
      </c>
      <c r="E1102" s="12" t="s">
        <v>704</v>
      </c>
      <c r="F1102" s="70" t="s">
        <v>2272</v>
      </c>
      <c r="G1102" s="70" t="s">
        <v>705</v>
      </c>
      <c r="H1102" s="70" t="s">
        <v>2272</v>
      </c>
      <c r="I1102" s="70" t="s">
        <v>705</v>
      </c>
      <c r="J1102" s="70" t="s">
        <v>2273</v>
      </c>
      <c r="K1102" s="70" t="s">
        <v>120</v>
      </c>
      <c r="L1102" s="70" t="s">
        <v>595</v>
      </c>
      <c r="M1102" s="12" t="s">
        <v>918</v>
      </c>
      <c r="N1102" s="65">
        <v>1</v>
      </c>
      <c r="O1102" s="57">
        <v>642857</v>
      </c>
      <c r="P1102" s="62">
        <f t="shared" si="19"/>
        <v>642857</v>
      </c>
      <c r="Q1102" s="6" t="s">
        <v>397</v>
      </c>
      <c r="R1102" s="6" t="s">
        <v>770</v>
      </c>
      <c r="S1102" s="38" t="s">
        <v>719</v>
      </c>
      <c r="T1102" s="26">
        <v>100</v>
      </c>
    </row>
    <row r="1103" spans="1:20" s="39" customFormat="1" ht="51">
      <c r="B1103" s="6">
        <v>1087</v>
      </c>
      <c r="C1103" s="36" t="s">
        <v>714</v>
      </c>
      <c r="D1103" s="43" t="s">
        <v>601</v>
      </c>
      <c r="E1103" s="12" t="s">
        <v>704</v>
      </c>
      <c r="F1103" s="70" t="s">
        <v>2272</v>
      </c>
      <c r="G1103" s="70" t="s">
        <v>705</v>
      </c>
      <c r="H1103" s="70" t="s">
        <v>2272</v>
      </c>
      <c r="I1103" s="70" t="s">
        <v>705</v>
      </c>
      <c r="J1103" s="70" t="s">
        <v>2273</v>
      </c>
      <c r="K1103" s="70" t="s">
        <v>120</v>
      </c>
      <c r="L1103" s="70" t="s">
        <v>595</v>
      </c>
      <c r="M1103" s="12" t="s">
        <v>918</v>
      </c>
      <c r="N1103" s="26">
        <v>1</v>
      </c>
      <c r="O1103" s="57">
        <v>642857</v>
      </c>
      <c r="P1103" s="62">
        <f t="shared" si="19"/>
        <v>642857</v>
      </c>
      <c r="Q1103" s="6" t="s">
        <v>397</v>
      </c>
      <c r="R1103" s="6" t="s">
        <v>770</v>
      </c>
      <c r="S1103" s="38">
        <v>551000000</v>
      </c>
      <c r="T1103" s="26">
        <v>0</v>
      </c>
    </row>
    <row r="1104" spans="1:20" ht="51" outlineLevel="1">
      <c r="B1104" s="6">
        <v>1088</v>
      </c>
      <c r="C1104" s="36" t="s">
        <v>714</v>
      </c>
      <c r="D1104" s="43" t="s">
        <v>601</v>
      </c>
      <c r="E1104" s="12" t="s">
        <v>704</v>
      </c>
      <c r="F1104" s="70" t="s">
        <v>2272</v>
      </c>
      <c r="G1104" s="70" t="s">
        <v>705</v>
      </c>
      <c r="H1104" s="70" t="s">
        <v>2272</v>
      </c>
      <c r="I1104" s="70" t="s">
        <v>705</v>
      </c>
      <c r="J1104" s="70" t="s">
        <v>2273</v>
      </c>
      <c r="K1104" s="70" t="s">
        <v>120</v>
      </c>
      <c r="L1104" s="70" t="s">
        <v>595</v>
      </c>
      <c r="M1104" s="12" t="s">
        <v>918</v>
      </c>
      <c r="N1104" s="26">
        <v>1</v>
      </c>
      <c r="O1104" s="57">
        <v>642857</v>
      </c>
      <c r="P1104" s="62">
        <f t="shared" si="19"/>
        <v>642857</v>
      </c>
      <c r="Q1104" s="6" t="s">
        <v>397</v>
      </c>
      <c r="R1104" s="6" t="s">
        <v>770</v>
      </c>
      <c r="S1104" s="38">
        <v>591000000</v>
      </c>
      <c r="T1104" s="26">
        <v>100</v>
      </c>
    </row>
    <row r="1105" spans="1:20" ht="51" outlineLevel="1">
      <c r="B1105" s="6">
        <v>1089</v>
      </c>
      <c r="C1105" s="36" t="s">
        <v>714</v>
      </c>
      <c r="D1105" s="43" t="s">
        <v>601</v>
      </c>
      <c r="E1105" s="12" t="s">
        <v>704</v>
      </c>
      <c r="F1105" s="70" t="s">
        <v>2272</v>
      </c>
      <c r="G1105" s="70" t="s">
        <v>705</v>
      </c>
      <c r="H1105" s="70" t="s">
        <v>2272</v>
      </c>
      <c r="I1105" s="70" t="s">
        <v>705</v>
      </c>
      <c r="J1105" s="70" t="s">
        <v>2273</v>
      </c>
      <c r="K1105" s="70" t="s">
        <v>120</v>
      </c>
      <c r="L1105" s="70" t="s">
        <v>595</v>
      </c>
      <c r="M1105" s="12" t="s">
        <v>918</v>
      </c>
      <c r="N1105" s="26">
        <v>1</v>
      </c>
      <c r="O1105" s="57">
        <v>642857</v>
      </c>
      <c r="P1105" s="62">
        <f t="shared" si="19"/>
        <v>642857</v>
      </c>
      <c r="Q1105" s="6" t="s">
        <v>397</v>
      </c>
      <c r="R1105" s="6" t="s">
        <v>770</v>
      </c>
      <c r="S1105" s="38" t="s">
        <v>2037</v>
      </c>
      <c r="T1105" s="6">
        <v>100</v>
      </c>
    </row>
    <row r="1106" spans="1:20" ht="51" outlineLevel="1">
      <c r="B1106" s="6">
        <v>1090</v>
      </c>
      <c r="C1106" s="36" t="s">
        <v>714</v>
      </c>
      <c r="D1106" s="43" t="s">
        <v>601</v>
      </c>
      <c r="E1106" s="6" t="s">
        <v>704</v>
      </c>
      <c r="F1106" s="70" t="s">
        <v>871</v>
      </c>
      <c r="G1106" s="70" t="s">
        <v>705</v>
      </c>
      <c r="H1106" s="70" t="s">
        <v>871</v>
      </c>
      <c r="I1106" s="70" t="s">
        <v>705</v>
      </c>
      <c r="J1106" s="70" t="s">
        <v>2276</v>
      </c>
      <c r="K1106" s="70" t="s">
        <v>116</v>
      </c>
      <c r="L1106" s="70" t="s">
        <v>595</v>
      </c>
      <c r="M1106" s="12" t="s">
        <v>918</v>
      </c>
      <c r="N1106" s="26">
        <v>1</v>
      </c>
      <c r="O1106" s="57">
        <v>361607</v>
      </c>
      <c r="P1106" s="62">
        <f t="shared" si="19"/>
        <v>361607</v>
      </c>
      <c r="Q1106" s="6" t="s">
        <v>397</v>
      </c>
      <c r="R1106" s="6" t="s">
        <v>770</v>
      </c>
      <c r="S1106" s="38" t="s">
        <v>2038</v>
      </c>
      <c r="T1106" s="26">
        <v>100</v>
      </c>
    </row>
    <row r="1107" spans="1:20" ht="51" outlineLevel="1">
      <c r="B1107" s="6">
        <v>1091</v>
      </c>
      <c r="C1107" s="36" t="s">
        <v>714</v>
      </c>
      <c r="D1107" s="43" t="s">
        <v>601</v>
      </c>
      <c r="E1107" s="6" t="s">
        <v>704</v>
      </c>
      <c r="F1107" s="70" t="s">
        <v>871</v>
      </c>
      <c r="G1107" s="70" t="s">
        <v>705</v>
      </c>
      <c r="H1107" s="70" t="s">
        <v>871</v>
      </c>
      <c r="I1107" s="70" t="s">
        <v>705</v>
      </c>
      <c r="J1107" s="70" t="s">
        <v>2276</v>
      </c>
      <c r="K1107" s="70" t="s">
        <v>116</v>
      </c>
      <c r="L1107" s="70" t="s">
        <v>595</v>
      </c>
      <c r="M1107" s="12" t="s">
        <v>918</v>
      </c>
      <c r="N1107" s="26">
        <v>1</v>
      </c>
      <c r="O1107" s="57">
        <v>361607</v>
      </c>
      <c r="P1107" s="62">
        <f t="shared" si="19"/>
        <v>361607</v>
      </c>
      <c r="Q1107" s="6" t="s">
        <v>395</v>
      </c>
      <c r="R1107" s="6" t="s">
        <v>770</v>
      </c>
      <c r="S1107" s="38" t="s">
        <v>1025</v>
      </c>
      <c r="T1107" s="6">
        <v>100</v>
      </c>
    </row>
    <row r="1108" spans="1:20" ht="51" outlineLevel="1">
      <c r="B1108" s="6">
        <v>1092</v>
      </c>
      <c r="C1108" s="36" t="s">
        <v>714</v>
      </c>
      <c r="D1108" s="43" t="s">
        <v>601</v>
      </c>
      <c r="E1108" s="6" t="s">
        <v>704</v>
      </c>
      <c r="F1108" s="70" t="s">
        <v>871</v>
      </c>
      <c r="G1108" s="70" t="s">
        <v>705</v>
      </c>
      <c r="H1108" s="70" t="s">
        <v>871</v>
      </c>
      <c r="I1108" s="70" t="s">
        <v>705</v>
      </c>
      <c r="J1108" s="70" t="s">
        <v>2276</v>
      </c>
      <c r="K1108" s="70" t="s">
        <v>116</v>
      </c>
      <c r="L1108" s="70" t="s">
        <v>595</v>
      </c>
      <c r="M1108" s="12" t="s">
        <v>918</v>
      </c>
      <c r="N1108" s="26">
        <v>1</v>
      </c>
      <c r="O1108" s="57">
        <v>361607</v>
      </c>
      <c r="P1108" s="62">
        <f t="shared" si="19"/>
        <v>361607</v>
      </c>
      <c r="Q1108" s="6" t="s">
        <v>506</v>
      </c>
      <c r="R1108" s="6" t="s">
        <v>770</v>
      </c>
      <c r="S1108" s="38" t="s">
        <v>793</v>
      </c>
      <c r="T1108" s="6">
        <v>100</v>
      </c>
    </row>
    <row r="1109" spans="1:20" ht="51" outlineLevel="1">
      <c r="B1109" s="6">
        <v>1093</v>
      </c>
      <c r="C1109" s="36" t="s">
        <v>714</v>
      </c>
      <c r="D1109" s="43" t="s">
        <v>601</v>
      </c>
      <c r="E1109" s="6" t="s">
        <v>704</v>
      </c>
      <c r="F1109" s="70" t="s">
        <v>871</v>
      </c>
      <c r="G1109" s="70" t="s">
        <v>705</v>
      </c>
      <c r="H1109" s="70" t="s">
        <v>871</v>
      </c>
      <c r="I1109" s="70" t="s">
        <v>705</v>
      </c>
      <c r="J1109" s="70" t="s">
        <v>2276</v>
      </c>
      <c r="K1109" s="70" t="s">
        <v>116</v>
      </c>
      <c r="L1109" s="70" t="s">
        <v>595</v>
      </c>
      <c r="M1109" s="12" t="s">
        <v>918</v>
      </c>
      <c r="N1109" s="26">
        <v>1</v>
      </c>
      <c r="O1109" s="57">
        <v>361607</v>
      </c>
      <c r="P1109" s="62">
        <f t="shared" si="19"/>
        <v>361607</v>
      </c>
      <c r="Q1109" s="6" t="s">
        <v>397</v>
      </c>
      <c r="R1109" s="6" t="s">
        <v>770</v>
      </c>
      <c r="S1109" s="38" t="s">
        <v>2030</v>
      </c>
      <c r="T1109" s="26">
        <v>100</v>
      </c>
    </row>
    <row r="1110" spans="1:20" s="14" customFormat="1" ht="51">
      <c r="A1110" s="17"/>
      <c r="B1110" s="6">
        <v>1094</v>
      </c>
      <c r="C1110" s="36" t="s">
        <v>714</v>
      </c>
      <c r="D1110" s="43" t="s">
        <v>601</v>
      </c>
      <c r="E1110" s="6" t="s">
        <v>704</v>
      </c>
      <c r="F1110" s="70" t="s">
        <v>871</v>
      </c>
      <c r="G1110" s="70" t="s">
        <v>705</v>
      </c>
      <c r="H1110" s="70" t="s">
        <v>871</v>
      </c>
      <c r="I1110" s="70" t="s">
        <v>705</v>
      </c>
      <c r="J1110" s="70" t="s">
        <v>2276</v>
      </c>
      <c r="K1110" s="70" t="s">
        <v>116</v>
      </c>
      <c r="L1110" s="70" t="s">
        <v>595</v>
      </c>
      <c r="M1110" s="12" t="s">
        <v>918</v>
      </c>
      <c r="N1110" s="26">
        <v>1</v>
      </c>
      <c r="O1110" s="57">
        <v>361607</v>
      </c>
      <c r="P1110" s="62">
        <f t="shared" si="19"/>
        <v>361607</v>
      </c>
      <c r="Q1110" s="6" t="s">
        <v>395</v>
      </c>
      <c r="R1110" s="6" t="s">
        <v>770</v>
      </c>
      <c r="S1110" s="38" t="s">
        <v>2031</v>
      </c>
      <c r="T1110" s="26">
        <v>100</v>
      </c>
    </row>
    <row r="1111" spans="1:20" ht="51" outlineLevel="1">
      <c r="B1111" s="6">
        <v>1095</v>
      </c>
      <c r="C1111" s="36" t="s">
        <v>714</v>
      </c>
      <c r="D1111" s="43" t="s">
        <v>601</v>
      </c>
      <c r="E1111" s="6" t="s">
        <v>704</v>
      </c>
      <c r="F1111" s="70" t="s">
        <v>871</v>
      </c>
      <c r="G1111" s="70" t="s">
        <v>705</v>
      </c>
      <c r="H1111" s="70" t="s">
        <v>871</v>
      </c>
      <c r="I1111" s="70" t="s">
        <v>705</v>
      </c>
      <c r="J1111" s="70" t="s">
        <v>2276</v>
      </c>
      <c r="K1111" s="70" t="s">
        <v>116</v>
      </c>
      <c r="L1111" s="70" t="s">
        <v>595</v>
      </c>
      <c r="M1111" s="12" t="s">
        <v>918</v>
      </c>
      <c r="N1111" s="26">
        <v>1</v>
      </c>
      <c r="O1111" s="57">
        <v>361607</v>
      </c>
      <c r="P1111" s="62">
        <f t="shared" si="19"/>
        <v>361607</v>
      </c>
      <c r="Q1111" s="6" t="s">
        <v>397</v>
      </c>
      <c r="R1111" s="6" t="s">
        <v>770</v>
      </c>
      <c r="S1111" s="38" t="s">
        <v>637</v>
      </c>
      <c r="T1111" s="26">
        <v>30</v>
      </c>
    </row>
    <row r="1112" spans="1:20" ht="51" outlineLevel="1">
      <c r="B1112" s="6">
        <v>1096</v>
      </c>
      <c r="C1112" s="36" t="s">
        <v>714</v>
      </c>
      <c r="D1112" s="43" t="s">
        <v>601</v>
      </c>
      <c r="E1112" s="6" t="s">
        <v>704</v>
      </c>
      <c r="F1112" s="70" t="s">
        <v>871</v>
      </c>
      <c r="G1112" s="70" t="s">
        <v>705</v>
      </c>
      <c r="H1112" s="70" t="s">
        <v>871</v>
      </c>
      <c r="I1112" s="70" t="s">
        <v>705</v>
      </c>
      <c r="J1112" s="70" t="s">
        <v>2276</v>
      </c>
      <c r="K1112" s="70" t="s">
        <v>116</v>
      </c>
      <c r="L1112" s="70" t="s">
        <v>595</v>
      </c>
      <c r="M1112" s="12" t="s">
        <v>918</v>
      </c>
      <c r="N1112" s="26">
        <v>1</v>
      </c>
      <c r="O1112" s="57">
        <v>361607</v>
      </c>
      <c r="P1112" s="62">
        <f t="shared" si="19"/>
        <v>361607</v>
      </c>
      <c r="Q1112" s="6" t="s">
        <v>395</v>
      </c>
      <c r="R1112" s="6" t="s">
        <v>770</v>
      </c>
      <c r="S1112" s="38">
        <v>311000000</v>
      </c>
      <c r="T1112" s="26">
        <v>0</v>
      </c>
    </row>
    <row r="1113" spans="1:20" ht="51" outlineLevel="1">
      <c r="B1113" s="6">
        <v>1097</v>
      </c>
      <c r="C1113" s="36" t="s">
        <v>714</v>
      </c>
      <c r="D1113" s="43" t="s">
        <v>601</v>
      </c>
      <c r="E1113" s="6" t="s">
        <v>704</v>
      </c>
      <c r="F1113" s="70" t="s">
        <v>871</v>
      </c>
      <c r="G1113" s="70" t="s">
        <v>705</v>
      </c>
      <c r="H1113" s="70" t="s">
        <v>871</v>
      </c>
      <c r="I1113" s="70" t="s">
        <v>705</v>
      </c>
      <c r="J1113" s="70" t="s">
        <v>2276</v>
      </c>
      <c r="K1113" s="70" t="s">
        <v>116</v>
      </c>
      <c r="L1113" s="70" t="s">
        <v>595</v>
      </c>
      <c r="M1113" s="12" t="s">
        <v>918</v>
      </c>
      <c r="N1113" s="26">
        <v>1</v>
      </c>
      <c r="O1113" s="57">
        <v>361607</v>
      </c>
      <c r="P1113" s="62">
        <f t="shared" si="19"/>
        <v>361607</v>
      </c>
      <c r="Q1113" s="6" t="s">
        <v>397</v>
      </c>
      <c r="R1113" s="6" t="s">
        <v>770</v>
      </c>
      <c r="S1113" s="38" t="s">
        <v>2032</v>
      </c>
      <c r="T1113" s="6">
        <v>0</v>
      </c>
    </row>
    <row r="1114" spans="1:20" ht="51" outlineLevel="1">
      <c r="B1114" s="6">
        <v>1098</v>
      </c>
      <c r="C1114" s="36" t="s">
        <v>714</v>
      </c>
      <c r="D1114" s="43" t="s">
        <v>601</v>
      </c>
      <c r="E1114" s="6" t="s">
        <v>704</v>
      </c>
      <c r="F1114" s="70" t="s">
        <v>871</v>
      </c>
      <c r="G1114" s="70" t="s">
        <v>705</v>
      </c>
      <c r="H1114" s="70" t="s">
        <v>871</v>
      </c>
      <c r="I1114" s="70" t="s">
        <v>705</v>
      </c>
      <c r="J1114" s="70" t="s">
        <v>2276</v>
      </c>
      <c r="K1114" s="70" t="s">
        <v>116</v>
      </c>
      <c r="L1114" s="70" t="s">
        <v>595</v>
      </c>
      <c r="M1114" s="12" t="s">
        <v>918</v>
      </c>
      <c r="N1114" s="26">
        <v>1</v>
      </c>
      <c r="O1114" s="57">
        <v>361607</v>
      </c>
      <c r="P1114" s="62">
        <f t="shared" si="19"/>
        <v>361607</v>
      </c>
      <c r="Q1114" s="6" t="s">
        <v>397</v>
      </c>
      <c r="R1114" s="6" t="s">
        <v>770</v>
      </c>
      <c r="S1114" s="38">
        <v>351000000</v>
      </c>
      <c r="T1114" s="26">
        <v>30</v>
      </c>
    </row>
    <row r="1115" spans="1:20" ht="51" outlineLevel="1">
      <c r="B1115" s="6">
        <v>1099</v>
      </c>
      <c r="C1115" s="36" t="s">
        <v>714</v>
      </c>
      <c r="D1115" s="43" t="s">
        <v>601</v>
      </c>
      <c r="E1115" s="6" t="s">
        <v>704</v>
      </c>
      <c r="F1115" s="70" t="s">
        <v>871</v>
      </c>
      <c r="G1115" s="70" t="s">
        <v>705</v>
      </c>
      <c r="H1115" s="70" t="s">
        <v>871</v>
      </c>
      <c r="I1115" s="70" t="s">
        <v>705</v>
      </c>
      <c r="J1115" s="70" t="s">
        <v>2276</v>
      </c>
      <c r="K1115" s="70" t="s">
        <v>116</v>
      </c>
      <c r="L1115" s="70" t="s">
        <v>595</v>
      </c>
      <c r="M1115" s="12" t="s">
        <v>918</v>
      </c>
      <c r="N1115" s="26">
        <v>1</v>
      </c>
      <c r="O1115" s="57">
        <v>361607</v>
      </c>
      <c r="P1115" s="62">
        <f t="shared" si="19"/>
        <v>361607</v>
      </c>
      <c r="Q1115" s="6" t="s">
        <v>397</v>
      </c>
      <c r="R1115" s="6" t="s">
        <v>770</v>
      </c>
      <c r="S1115" s="38" t="s">
        <v>929</v>
      </c>
      <c r="T1115" s="26">
        <v>0</v>
      </c>
    </row>
    <row r="1116" spans="1:20" ht="51" outlineLevel="1">
      <c r="B1116" s="6">
        <v>1100</v>
      </c>
      <c r="C1116" s="36" t="s">
        <v>714</v>
      </c>
      <c r="D1116" s="43" t="s">
        <v>601</v>
      </c>
      <c r="E1116" s="6" t="s">
        <v>704</v>
      </c>
      <c r="F1116" s="70" t="s">
        <v>871</v>
      </c>
      <c r="G1116" s="70" t="s">
        <v>705</v>
      </c>
      <c r="H1116" s="70" t="s">
        <v>871</v>
      </c>
      <c r="I1116" s="70" t="s">
        <v>705</v>
      </c>
      <c r="J1116" s="70" t="s">
        <v>2276</v>
      </c>
      <c r="K1116" s="70" t="s">
        <v>116</v>
      </c>
      <c r="L1116" s="70" t="s">
        <v>595</v>
      </c>
      <c r="M1116" s="12" t="s">
        <v>918</v>
      </c>
      <c r="N1116" s="26">
        <v>1</v>
      </c>
      <c r="O1116" s="57">
        <v>361607</v>
      </c>
      <c r="P1116" s="62">
        <f t="shared" si="19"/>
        <v>361607</v>
      </c>
      <c r="Q1116" s="6" t="s">
        <v>397</v>
      </c>
      <c r="R1116" s="6" t="s">
        <v>770</v>
      </c>
      <c r="S1116" s="38">
        <v>431000000</v>
      </c>
      <c r="T1116" s="26">
        <v>100</v>
      </c>
    </row>
    <row r="1117" spans="1:20" ht="51" outlineLevel="1">
      <c r="B1117" s="6">
        <v>1101</v>
      </c>
      <c r="C1117" s="36" t="s">
        <v>714</v>
      </c>
      <c r="D1117" s="43" t="s">
        <v>601</v>
      </c>
      <c r="E1117" s="6" t="s">
        <v>704</v>
      </c>
      <c r="F1117" s="70" t="s">
        <v>871</v>
      </c>
      <c r="G1117" s="70" t="s">
        <v>705</v>
      </c>
      <c r="H1117" s="70" t="s">
        <v>871</v>
      </c>
      <c r="I1117" s="70" t="s">
        <v>705</v>
      </c>
      <c r="J1117" s="70" t="s">
        <v>2276</v>
      </c>
      <c r="K1117" s="70" t="s">
        <v>116</v>
      </c>
      <c r="L1117" s="70" t="s">
        <v>595</v>
      </c>
      <c r="M1117" s="12" t="s">
        <v>918</v>
      </c>
      <c r="N1117" s="26">
        <v>1</v>
      </c>
      <c r="O1117" s="57">
        <v>361607</v>
      </c>
      <c r="P1117" s="62">
        <f t="shared" si="19"/>
        <v>361607</v>
      </c>
      <c r="Q1117" s="6" t="s">
        <v>616</v>
      </c>
      <c r="R1117" s="6" t="s">
        <v>770</v>
      </c>
      <c r="S1117" s="38" t="s">
        <v>719</v>
      </c>
      <c r="T1117" s="26">
        <v>100</v>
      </c>
    </row>
    <row r="1118" spans="1:20" s="39" customFormat="1" ht="51">
      <c r="B1118" s="6">
        <v>1102</v>
      </c>
      <c r="C1118" s="36" t="s">
        <v>714</v>
      </c>
      <c r="D1118" s="43" t="s">
        <v>601</v>
      </c>
      <c r="E1118" s="6" t="s">
        <v>704</v>
      </c>
      <c r="F1118" s="70" t="s">
        <v>871</v>
      </c>
      <c r="G1118" s="70" t="s">
        <v>705</v>
      </c>
      <c r="H1118" s="70" t="s">
        <v>871</v>
      </c>
      <c r="I1118" s="70" t="s">
        <v>705</v>
      </c>
      <c r="J1118" s="70" t="s">
        <v>2276</v>
      </c>
      <c r="K1118" s="70" t="s">
        <v>116</v>
      </c>
      <c r="L1118" s="70" t="s">
        <v>595</v>
      </c>
      <c r="M1118" s="12" t="s">
        <v>918</v>
      </c>
      <c r="N1118" s="26">
        <v>1</v>
      </c>
      <c r="O1118" s="57">
        <v>361607</v>
      </c>
      <c r="P1118" s="62">
        <f t="shared" si="19"/>
        <v>361607</v>
      </c>
      <c r="Q1118" s="6" t="s">
        <v>397</v>
      </c>
      <c r="R1118" s="6" t="s">
        <v>770</v>
      </c>
      <c r="S1118" s="38">
        <v>551000000</v>
      </c>
      <c r="T1118" s="26">
        <v>0</v>
      </c>
    </row>
    <row r="1119" spans="1:20" ht="51" outlineLevel="1">
      <c r="B1119" s="6">
        <v>1103</v>
      </c>
      <c r="C1119" s="36" t="s">
        <v>714</v>
      </c>
      <c r="D1119" s="43" t="s">
        <v>601</v>
      </c>
      <c r="E1119" s="6" t="s">
        <v>704</v>
      </c>
      <c r="F1119" s="70" t="s">
        <v>871</v>
      </c>
      <c r="G1119" s="70" t="s">
        <v>705</v>
      </c>
      <c r="H1119" s="70" t="s">
        <v>871</v>
      </c>
      <c r="I1119" s="70" t="s">
        <v>705</v>
      </c>
      <c r="J1119" s="70" t="s">
        <v>2276</v>
      </c>
      <c r="K1119" s="70" t="s">
        <v>116</v>
      </c>
      <c r="L1119" s="70" t="s">
        <v>595</v>
      </c>
      <c r="M1119" s="12" t="s">
        <v>918</v>
      </c>
      <c r="N1119" s="26">
        <v>1</v>
      </c>
      <c r="O1119" s="57">
        <v>361607</v>
      </c>
      <c r="P1119" s="62">
        <f t="shared" si="19"/>
        <v>361607</v>
      </c>
      <c r="Q1119" s="6" t="s">
        <v>397</v>
      </c>
      <c r="R1119" s="6" t="s">
        <v>770</v>
      </c>
      <c r="S1119" s="38">
        <v>591000000</v>
      </c>
      <c r="T1119" s="26">
        <v>100</v>
      </c>
    </row>
    <row r="1120" spans="1:20" ht="51" outlineLevel="1">
      <c r="B1120" s="6">
        <v>1104</v>
      </c>
      <c r="C1120" s="36" t="s">
        <v>714</v>
      </c>
      <c r="D1120" s="43" t="s">
        <v>601</v>
      </c>
      <c r="E1120" s="6" t="s">
        <v>704</v>
      </c>
      <c r="F1120" s="70" t="s">
        <v>871</v>
      </c>
      <c r="G1120" s="70" t="s">
        <v>705</v>
      </c>
      <c r="H1120" s="70" t="s">
        <v>871</v>
      </c>
      <c r="I1120" s="70" t="s">
        <v>705</v>
      </c>
      <c r="J1120" s="70" t="s">
        <v>2276</v>
      </c>
      <c r="K1120" s="70" t="s">
        <v>116</v>
      </c>
      <c r="L1120" s="70" t="s">
        <v>595</v>
      </c>
      <c r="M1120" s="12" t="s">
        <v>918</v>
      </c>
      <c r="N1120" s="26">
        <v>1</v>
      </c>
      <c r="O1120" s="57">
        <v>361607</v>
      </c>
      <c r="P1120" s="62">
        <f t="shared" si="19"/>
        <v>361607</v>
      </c>
      <c r="Q1120" s="6" t="s">
        <v>616</v>
      </c>
      <c r="R1120" s="6" t="s">
        <v>770</v>
      </c>
      <c r="S1120" s="38" t="s">
        <v>2037</v>
      </c>
      <c r="T1120" s="6">
        <v>100</v>
      </c>
    </row>
    <row r="1121" spans="1:20" ht="76.5" outlineLevel="1">
      <c r="B1121" s="6">
        <v>1105</v>
      </c>
      <c r="C1121" s="36" t="s">
        <v>714</v>
      </c>
      <c r="D1121" s="43" t="s">
        <v>601</v>
      </c>
      <c r="E1121" s="6" t="s">
        <v>523</v>
      </c>
      <c r="F1121" s="70" t="s">
        <v>524</v>
      </c>
      <c r="G1121" s="70" t="s">
        <v>525</v>
      </c>
      <c r="H1121" s="70" t="s">
        <v>526</v>
      </c>
      <c r="I1121" s="70" t="s">
        <v>527</v>
      </c>
      <c r="J1121" s="70" t="s">
        <v>1808</v>
      </c>
      <c r="K1121" s="70" t="s">
        <v>52</v>
      </c>
      <c r="L1121" s="70" t="s">
        <v>595</v>
      </c>
      <c r="M1121" s="12" t="s">
        <v>918</v>
      </c>
      <c r="N1121" s="26">
        <v>1</v>
      </c>
      <c r="O1121" s="57">
        <v>36661536</v>
      </c>
      <c r="P1121" s="62">
        <f t="shared" si="19"/>
        <v>36661536</v>
      </c>
      <c r="Q1121" s="6" t="s">
        <v>505</v>
      </c>
      <c r="R1121" s="6" t="s">
        <v>398</v>
      </c>
      <c r="S1121" s="38" t="s">
        <v>1179</v>
      </c>
      <c r="T1121" s="26">
        <v>100</v>
      </c>
    </row>
    <row r="1122" spans="1:20" ht="76.5" outlineLevel="1">
      <c r="B1122" s="6">
        <v>1106</v>
      </c>
      <c r="C1122" s="36" t="s">
        <v>714</v>
      </c>
      <c r="D1122" s="43" t="s">
        <v>601</v>
      </c>
      <c r="E1122" s="6" t="s">
        <v>523</v>
      </c>
      <c r="F1122" s="70" t="s">
        <v>524</v>
      </c>
      <c r="G1122" s="70" t="s">
        <v>525</v>
      </c>
      <c r="H1122" s="70" t="s">
        <v>526</v>
      </c>
      <c r="I1122" s="70" t="s">
        <v>527</v>
      </c>
      <c r="J1122" s="70" t="s">
        <v>1808</v>
      </c>
      <c r="K1122" s="70" t="s">
        <v>52</v>
      </c>
      <c r="L1122" s="70" t="s">
        <v>595</v>
      </c>
      <c r="M1122" s="12" t="s">
        <v>918</v>
      </c>
      <c r="N1122" s="26">
        <v>1</v>
      </c>
      <c r="O1122" s="57">
        <v>446429</v>
      </c>
      <c r="P1122" s="62">
        <f t="shared" si="19"/>
        <v>446429</v>
      </c>
      <c r="Q1122" s="6" t="s">
        <v>616</v>
      </c>
      <c r="R1122" s="6" t="s">
        <v>398</v>
      </c>
      <c r="S1122" s="38" t="s">
        <v>2038</v>
      </c>
      <c r="T1122" s="26">
        <v>100</v>
      </c>
    </row>
    <row r="1123" spans="1:20" ht="76.5" outlineLevel="1">
      <c r="B1123" s="6">
        <v>1107</v>
      </c>
      <c r="C1123" s="36" t="s">
        <v>714</v>
      </c>
      <c r="D1123" s="43" t="s">
        <v>601</v>
      </c>
      <c r="E1123" s="6" t="s">
        <v>523</v>
      </c>
      <c r="F1123" s="70" t="s">
        <v>524</v>
      </c>
      <c r="G1123" s="70" t="s">
        <v>525</v>
      </c>
      <c r="H1123" s="70" t="s">
        <v>526</v>
      </c>
      <c r="I1123" s="70" t="s">
        <v>527</v>
      </c>
      <c r="J1123" s="70" t="s">
        <v>1808</v>
      </c>
      <c r="K1123" s="70" t="s">
        <v>52</v>
      </c>
      <c r="L1123" s="70" t="s">
        <v>595</v>
      </c>
      <c r="M1123" s="12" t="s">
        <v>918</v>
      </c>
      <c r="N1123" s="26">
        <v>1</v>
      </c>
      <c r="O1123" s="57">
        <v>446429</v>
      </c>
      <c r="P1123" s="62">
        <f t="shared" si="19"/>
        <v>446429</v>
      </c>
      <c r="Q1123" s="6" t="s">
        <v>395</v>
      </c>
      <c r="R1123" s="6" t="s">
        <v>398</v>
      </c>
      <c r="S1123" s="38" t="s">
        <v>1025</v>
      </c>
      <c r="T1123" s="26">
        <v>100</v>
      </c>
    </row>
    <row r="1124" spans="1:20" ht="76.5" outlineLevel="1">
      <c r="B1124" s="6">
        <v>1108</v>
      </c>
      <c r="C1124" s="36" t="s">
        <v>714</v>
      </c>
      <c r="D1124" s="43" t="s">
        <v>601</v>
      </c>
      <c r="E1124" s="6" t="s">
        <v>523</v>
      </c>
      <c r="F1124" s="70" t="s">
        <v>524</v>
      </c>
      <c r="G1124" s="70" t="s">
        <v>525</v>
      </c>
      <c r="H1124" s="70" t="s">
        <v>526</v>
      </c>
      <c r="I1124" s="70" t="s">
        <v>527</v>
      </c>
      <c r="J1124" s="70" t="s">
        <v>1808</v>
      </c>
      <c r="K1124" s="70" t="s">
        <v>52</v>
      </c>
      <c r="L1124" s="70" t="s">
        <v>595</v>
      </c>
      <c r="M1124" s="12" t="s">
        <v>918</v>
      </c>
      <c r="N1124" s="26">
        <v>1</v>
      </c>
      <c r="O1124" s="57">
        <v>446429</v>
      </c>
      <c r="P1124" s="62">
        <f t="shared" si="19"/>
        <v>446429</v>
      </c>
      <c r="Q1124" s="6" t="s">
        <v>702</v>
      </c>
      <c r="R1124" s="6" t="s">
        <v>398</v>
      </c>
      <c r="S1124" s="38" t="s">
        <v>793</v>
      </c>
      <c r="T1124" s="26">
        <v>100</v>
      </c>
    </row>
    <row r="1125" spans="1:20" ht="76.5" outlineLevel="1">
      <c r="A1125" s="61"/>
      <c r="B1125" s="6">
        <v>1109</v>
      </c>
      <c r="C1125" s="36" t="s">
        <v>714</v>
      </c>
      <c r="D1125" s="43" t="s">
        <v>601</v>
      </c>
      <c r="E1125" s="6" t="s">
        <v>523</v>
      </c>
      <c r="F1125" s="70" t="s">
        <v>524</v>
      </c>
      <c r="G1125" s="70" t="s">
        <v>525</v>
      </c>
      <c r="H1125" s="70" t="s">
        <v>526</v>
      </c>
      <c r="I1125" s="70" t="s">
        <v>527</v>
      </c>
      <c r="J1125" s="70" t="s">
        <v>1808</v>
      </c>
      <c r="K1125" s="70" t="s">
        <v>52</v>
      </c>
      <c r="L1125" s="70" t="s">
        <v>595</v>
      </c>
      <c r="M1125" s="12" t="s">
        <v>918</v>
      </c>
      <c r="N1125" s="26">
        <v>1</v>
      </c>
      <c r="O1125" s="57">
        <v>446429</v>
      </c>
      <c r="P1125" s="62">
        <f t="shared" si="19"/>
        <v>446429</v>
      </c>
      <c r="Q1125" s="6" t="s">
        <v>397</v>
      </c>
      <c r="R1125" s="6" t="s">
        <v>398</v>
      </c>
      <c r="S1125" s="38" t="s">
        <v>2035</v>
      </c>
      <c r="T1125" s="26">
        <v>100</v>
      </c>
    </row>
    <row r="1126" spans="1:20" s="45" customFormat="1" ht="76.5" outlineLevel="1">
      <c r="A1126" s="44"/>
      <c r="B1126" s="6">
        <v>1110</v>
      </c>
      <c r="C1126" s="36" t="s">
        <v>714</v>
      </c>
      <c r="D1126" s="43" t="s">
        <v>601</v>
      </c>
      <c r="E1126" s="6" t="s">
        <v>523</v>
      </c>
      <c r="F1126" s="70" t="s">
        <v>524</v>
      </c>
      <c r="G1126" s="70" t="s">
        <v>525</v>
      </c>
      <c r="H1126" s="70" t="s">
        <v>526</v>
      </c>
      <c r="I1126" s="70" t="s">
        <v>527</v>
      </c>
      <c r="J1126" s="70" t="s">
        <v>1808</v>
      </c>
      <c r="K1126" s="70" t="s">
        <v>52</v>
      </c>
      <c r="L1126" s="70" t="s">
        <v>595</v>
      </c>
      <c r="M1126" s="12" t="s">
        <v>918</v>
      </c>
      <c r="N1126" s="26">
        <v>1</v>
      </c>
      <c r="O1126" s="57">
        <v>446429</v>
      </c>
      <c r="P1126" s="62">
        <f t="shared" si="19"/>
        <v>446429</v>
      </c>
      <c r="Q1126" s="6" t="s">
        <v>397</v>
      </c>
      <c r="R1126" s="6" t="s">
        <v>398</v>
      </c>
      <c r="S1126" s="38" t="s">
        <v>2030</v>
      </c>
      <c r="T1126" s="26">
        <v>100</v>
      </c>
    </row>
    <row r="1127" spans="1:20" s="14" customFormat="1" ht="76.5">
      <c r="A1127" s="17"/>
      <c r="B1127" s="6">
        <v>1111</v>
      </c>
      <c r="C1127" s="36" t="s">
        <v>714</v>
      </c>
      <c r="D1127" s="43" t="s">
        <v>601</v>
      </c>
      <c r="E1127" s="6" t="s">
        <v>523</v>
      </c>
      <c r="F1127" s="70" t="s">
        <v>524</v>
      </c>
      <c r="G1127" s="70" t="s">
        <v>525</v>
      </c>
      <c r="H1127" s="70" t="s">
        <v>526</v>
      </c>
      <c r="I1127" s="70" t="s">
        <v>527</v>
      </c>
      <c r="J1127" s="70" t="s">
        <v>1808</v>
      </c>
      <c r="K1127" s="70" t="s">
        <v>52</v>
      </c>
      <c r="L1127" s="70" t="s">
        <v>595</v>
      </c>
      <c r="M1127" s="12" t="s">
        <v>918</v>
      </c>
      <c r="N1127" s="26">
        <v>1</v>
      </c>
      <c r="O1127" s="57">
        <v>446429</v>
      </c>
      <c r="P1127" s="62">
        <f t="shared" si="19"/>
        <v>446429</v>
      </c>
      <c r="Q1127" s="6" t="s">
        <v>519</v>
      </c>
      <c r="R1127" s="6" t="s">
        <v>398</v>
      </c>
      <c r="S1127" s="38" t="s">
        <v>2031</v>
      </c>
      <c r="T1127" s="26">
        <v>100</v>
      </c>
    </row>
    <row r="1128" spans="1:20" ht="76.5" outlineLevel="1">
      <c r="B1128" s="6">
        <v>1112</v>
      </c>
      <c r="C1128" s="36" t="s">
        <v>714</v>
      </c>
      <c r="D1128" s="43" t="s">
        <v>601</v>
      </c>
      <c r="E1128" s="6" t="s">
        <v>523</v>
      </c>
      <c r="F1128" s="70" t="s">
        <v>524</v>
      </c>
      <c r="G1128" s="70" t="s">
        <v>525</v>
      </c>
      <c r="H1128" s="70" t="s">
        <v>526</v>
      </c>
      <c r="I1128" s="70" t="s">
        <v>527</v>
      </c>
      <c r="J1128" s="70" t="s">
        <v>1808</v>
      </c>
      <c r="K1128" s="70" t="s">
        <v>52</v>
      </c>
      <c r="L1128" s="70" t="s">
        <v>595</v>
      </c>
      <c r="M1128" s="12" t="s">
        <v>918</v>
      </c>
      <c r="N1128" s="26">
        <v>1</v>
      </c>
      <c r="O1128" s="57">
        <v>446429</v>
      </c>
      <c r="P1128" s="62">
        <f t="shared" si="19"/>
        <v>446429</v>
      </c>
      <c r="Q1128" s="6" t="s">
        <v>519</v>
      </c>
      <c r="R1128" s="6" t="s">
        <v>398</v>
      </c>
      <c r="S1128" s="38" t="s">
        <v>637</v>
      </c>
      <c r="T1128" s="26">
        <v>100</v>
      </c>
    </row>
    <row r="1129" spans="1:20" ht="76.5" outlineLevel="1">
      <c r="B1129" s="6">
        <v>1113</v>
      </c>
      <c r="C1129" s="36" t="s">
        <v>714</v>
      </c>
      <c r="D1129" s="43" t="s">
        <v>601</v>
      </c>
      <c r="E1129" s="6" t="s">
        <v>523</v>
      </c>
      <c r="F1129" s="70" t="s">
        <v>524</v>
      </c>
      <c r="G1129" s="70" t="s">
        <v>525</v>
      </c>
      <c r="H1129" s="70" t="s">
        <v>526</v>
      </c>
      <c r="I1129" s="70" t="s">
        <v>527</v>
      </c>
      <c r="J1129" s="70" t="s">
        <v>1808</v>
      </c>
      <c r="K1129" s="70" t="s">
        <v>52</v>
      </c>
      <c r="L1129" s="70" t="s">
        <v>595</v>
      </c>
      <c r="M1129" s="12" t="s">
        <v>918</v>
      </c>
      <c r="N1129" s="26">
        <v>1</v>
      </c>
      <c r="O1129" s="57">
        <v>446429</v>
      </c>
      <c r="P1129" s="62">
        <f t="shared" si="19"/>
        <v>446429</v>
      </c>
      <c r="Q1129" s="6" t="s">
        <v>616</v>
      </c>
      <c r="R1129" s="6" t="s">
        <v>398</v>
      </c>
      <c r="S1129" s="38">
        <v>311000000</v>
      </c>
      <c r="T1129" s="26">
        <v>100</v>
      </c>
    </row>
    <row r="1130" spans="1:20" s="45" customFormat="1" ht="76.5" outlineLevel="1">
      <c r="A1130" s="44"/>
      <c r="B1130" s="6">
        <v>1114</v>
      </c>
      <c r="C1130" s="36" t="s">
        <v>714</v>
      </c>
      <c r="D1130" s="43" t="s">
        <v>601</v>
      </c>
      <c r="E1130" s="6" t="s">
        <v>523</v>
      </c>
      <c r="F1130" s="70" t="s">
        <v>524</v>
      </c>
      <c r="G1130" s="70" t="s">
        <v>525</v>
      </c>
      <c r="H1130" s="70" t="s">
        <v>526</v>
      </c>
      <c r="I1130" s="70" t="s">
        <v>527</v>
      </c>
      <c r="J1130" s="70" t="s">
        <v>1808</v>
      </c>
      <c r="K1130" s="70" t="s">
        <v>52</v>
      </c>
      <c r="L1130" s="70" t="s">
        <v>595</v>
      </c>
      <c r="M1130" s="12" t="s">
        <v>918</v>
      </c>
      <c r="N1130" s="26">
        <v>1</v>
      </c>
      <c r="O1130" s="57">
        <v>446429</v>
      </c>
      <c r="P1130" s="62">
        <f t="shared" si="19"/>
        <v>446429</v>
      </c>
      <c r="Q1130" s="6" t="s">
        <v>397</v>
      </c>
      <c r="R1130" s="6" t="s">
        <v>398</v>
      </c>
      <c r="S1130" s="38" t="s">
        <v>2032</v>
      </c>
      <c r="T1130" s="26">
        <v>100</v>
      </c>
    </row>
    <row r="1131" spans="1:20" s="45" customFormat="1" ht="76.5" outlineLevel="1">
      <c r="A1131" s="44"/>
      <c r="B1131" s="6">
        <v>1115</v>
      </c>
      <c r="C1131" s="36" t="s">
        <v>714</v>
      </c>
      <c r="D1131" s="43" t="s">
        <v>601</v>
      </c>
      <c r="E1131" s="6" t="s">
        <v>523</v>
      </c>
      <c r="F1131" s="70" t="s">
        <v>524</v>
      </c>
      <c r="G1131" s="70" t="s">
        <v>525</v>
      </c>
      <c r="H1131" s="70" t="s">
        <v>526</v>
      </c>
      <c r="I1131" s="70" t="s">
        <v>527</v>
      </c>
      <c r="J1131" s="70" t="s">
        <v>1808</v>
      </c>
      <c r="K1131" s="70" t="s">
        <v>52</v>
      </c>
      <c r="L1131" s="70" t="s">
        <v>595</v>
      </c>
      <c r="M1131" s="12" t="s">
        <v>918</v>
      </c>
      <c r="N1131" s="26">
        <v>1</v>
      </c>
      <c r="O1131" s="57">
        <v>446429</v>
      </c>
      <c r="P1131" s="62">
        <f t="shared" si="19"/>
        <v>446429</v>
      </c>
      <c r="Q1131" s="6" t="s">
        <v>616</v>
      </c>
      <c r="R1131" s="6" t="s">
        <v>398</v>
      </c>
      <c r="S1131" s="38">
        <v>351000000</v>
      </c>
      <c r="T1131" s="26">
        <v>100</v>
      </c>
    </row>
    <row r="1132" spans="1:20" ht="76.5" outlineLevel="1">
      <c r="B1132" s="6">
        <v>1116</v>
      </c>
      <c r="C1132" s="36" t="s">
        <v>714</v>
      </c>
      <c r="D1132" s="43" t="s">
        <v>601</v>
      </c>
      <c r="E1132" s="6" t="s">
        <v>523</v>
      </c>
      <c r="F1132" s="70" t="s">
        <v>524</v>
      </c>
      <c r="G1132" s="70" t="s">
        <v>525</v>
      </c>
      <c r="H1132" s="70" t="s">
        <v>526</v>
      </c>
      <c r="I1132" s="70" t="s">
        <v>527</v>
      </c>
      <c r="J1132" s="70" t="s">
        <v>1808</v>
      </c>
      <c r="K1132" s="70" t="s">
        <v>52</v>
      </c>
      <c r="L1132" s="70" t="s">
        <v>595</v>
      </c>
      <c r="M1132" s="12" t="s">
        <v>918</v>
      </c>
      <c r="N1132" s="26">
        <v>1</v>
      </c>
      <c r="O1132" s="57">
        <v>446429</v>
      </c>
      <c r="P1132" s="62">
        <f t="shared" si="19"/>
        <v>446429</v>
      </c>
      <c r="Q1132" s="6" t="s">
        <v>519</v>
      </c>
      <c r="R1132" s="6" t="s">
        <v>398</v>
      </c>
      <c r="S1132" s="38" t="s">
        <v>929</v>
      </c>
      <c r="T1132" s="26">
        <v>100</v>
      </c>
    </row>
    <row r="1133" spans="1:20" s="45" customFormat="1" ht="76.5" outlineLevel="1">
      <c r="A1133" s="44"/>
      <c r="B1133" s="6">
        <v>1117</v>
      </c>
      <c r="C1133" s="36" t="s">
        <v>714</v>
      </c>
      <c r="D1133" s="43" t="s">
        <v>601</v>
      </c>
      <c r="E1133" s="6" t="s">
        <v>523</v>
      </c>
      <c r="F1133" s="70" t="s">
        <v>524</v>
      </c>
      <c r="G1133" s="70" t="s">
        <v>525</v>
      </c>
      <c r="H1133" s="70" t="s">
        <v>526</v>
      </c>
      <c r="I1133" s="70" t="s">
        <v>527</v>
      </c>
      <c r="J1133" s="70" t="s">
        <v>1808</v>
      </c>
      <c r="K1133" s="70" t="s">
        <v>52</v>
      </c>
      <c r="L1133" s="70" t="s">
        <v>595</v>
      </c>
      <c r="M1133" s="12" t="s">
        <v>918</v>
      </c>
      <c r="N1133" s="26">
        <v>1</v>
      </c>
      <c r="O1133" s="57">
        <v>446429</v>
      </c>
      <c r="P1133" s="62">
        <f t="shared" si="19"/>
        <v>446429</v>
      </c>
      <c r="Q1133" s="6" t="s">
        <v>505</v>
      </c>
      <c r="R1133" s="6" t="s">
        <v>398</v>
      </c>
      <c r="S1133" s="38">
        <v>431000000</v>
      </c>
      <c r="T1133" s="26">
        <v>100</v>
      </c>
    </row>
    <row r="1134" spans="1:20" s="45" customFormat="1" ht="48.75" customHeight="1" outlineLevel="1">
      <c r="A1134" s="44"/>
      <c r="B1134" s="6">
        <v>1118</v>
      </c>
      <c r="C1134" s="36" t="s">
        <v>714</v>
      </c>
      <c r="D1134" s="43" t="s">
        <v>601</v>
      </c>
      <c r="E1134" s="6" t="s">
        <v>523</v>
      </c>
      <c r="F1134" s="70" t="s">
        <v>524</v>
      </c>
      <c r="G1134" s="70" t="s">
        <v>525</v>
      </c>
      <c r="H1134" s="70" t="s">
        <v>526</v>
      </c>
      <c r="I1134" s="70" t="s">
        <v>527</v>
      </c>
      <c r="J1134" s="70" t="s">
        <v>1808</v>
      </c>
      <c r="K1134" s="70" t="s">
        <v>52</v>
      </c>
      <c r="L1134" s="70" t="s">
        <v>595</v>
      </c>
      <c r="M1134" s="12" t="s">
        <v>918</v>
      </c>
      <c r="N1134" s="65">
        <v>1</v>
      </c>
      <c r="O1134" s="57">
        <v>446429</v>
      </c>
      <c r="P1134" s="62">
        <f t="shared" si="19"/>
        <v>446429</v>
      </c>
      <c r="Q1134" s="6" t="s">
        <v>397</v>
      </c>
      <c r="R1134" s="6" t="s">
        <v>398</v>
      </c>
      <c r="S1134" s="38" t="s">
        <v>719</v>
      </c>
      <c r="T1134" s="26">
        <v>100</v>
      </c>
    </row>
    <row r="1135" spans="1:20" s="39" customFormat="1" ht="64.5" customHeight="1">
      <c r="B1135" s="6">
        <v>1119</v>
      </c>
      <c r="C1135" s="36" t="s">
        <v>714</v>
      </c>
      <c r="D1135" s="43" t="s">
        <v>601</v>
      </c>
      <c r="E1135" s="6" t="s">
        <v>523</v>
      </c>
      <c r="F1135" s="70" t="s">
        <v>524</v>
      </c>
      <c r="G1135" s="70" t="s">
        <v>525</v>
      </c>
      <c r="H1135" s="70" t="s">
        <v>526</v>
      </c>
      <c r="I1135" s="70" t="s">
        <v>527</v>
      </c>
      <c r="J1135" s="70" t="s">
        <v>1808</v>
      </c>
      <c r="K1135" s="70" t="s">
        <v>52</v>
      </c>
      <c r="L1135" s="70" t="s">
        <v>595</v>
      </c>
      <c r="M1135" s="12" t="s">
        <v>918</v>
      </c>
      <c r="N1135" s="26">
        <v>1</v>
      </c>
      <c r="O1135" s="57">
        <v>446429</v>
      </c>
      <c r="P1135" s="62">
        <f t="shared" si="19"/>
        <v>446429</v>
      </c>
      <c r="Q1135" s="6" t="s">
        <v>616</v>
      </c>
      <c r="R1135" s="6" t="s">
        <v>398</v>
      </c>
      <c r="S1135" s="38">
        <v>551000000</v>
      </c>
      <c r="T1135" s="26">
        <v>100</v>
      </c>
    </row>
    <row r="1136" spans="1:20" s="45" customFormat="1" ht="76.5" outlineLevel="1">
      <c r="A1136" s="44"/>
      <c r="B1136" s="6">
        <v>1120</v>
      </c>
      <c r="C1136" s="36" t="s">
        <v>714</v>
      </c>
      <c r="D1136" s="43" t="s">
        <v>601</v>
      </c>
      <c r="E1136" s="6" t="s">
        <v>523</v>
      </c>
      <c r="F1136" s="70" t="s">
        <v>524</v>
      </c>
      <c r="G1136" s="70" t="s">
        <v>525</v>
      </c>
      <c r="H1136" s="70" t="s">
        <v>526</v>
      </c>
      <c r="I1136" s="70" t="s">
        <v>527</v>
      </c>
      <c r="J1136" s="70" t="s">
        <v>1808</v>
      </c>
      <c r="K1136" s="70" t="s">
        <v>52</v>
      </c>
      <c r="L1136" s="70" t="s">
        <v>595</v>
      </c>
      <c r="M1136" s="12" t="s">
        <v>918</v>
      </c>
      <c r="N1136" s="26">
        <v>1</v>
      </c>
      <c r="O1136" s="57">
        <v>446429</v>
      </c>
      <c r="P1136" s="62">
        <f t="shared" si="19"/>
        <v>446429</v>
      </c>
      <c r="Q1136" s="6" t="s">
        <v>616</v>
      </c>
      <c r="R1136" s="6" t="s">
        <v>398</v>
      </c>
      <c r="S1136" s="38">
        <v>591000000</v>
      </c>
      <c r="T1136" s="26">
        <v>100</v>
      </c>
    </row>
    <row r="1137" spans="1:20" s="45" customFormat="1" ht="76.5" outlineLevel="1">
      <c r="A1137" s="44"/>
      <c r="B1137" s="6">
        <v>1121</v>
      </c>
      <c r="C1137" s="36" t="s">
        <v>714</v>
      </c>
      <c r="D1137" s="43" t="s">
        <v>601</v>
      </c>
      <c r="E1137" s="6" t="s">
        <v>523</v>
      </c>
      <c r="F1137" s="70" t="s">
        <v>524</v>
      </c>
      <c r="G1137" s="70" t="s">
        <v>525</v>
      </c>
      <c r="H1137" s="70" t="s">
        <v>526</v>
      </c>
      <c r="I1137" s="70" t="s">
        <v>527</v>
      </c>
      <c r="J1137" s="70" t="s">
        <v>1808</v>
      </c>
      <c r="K1137" s="70" t="s">
        <v>52</v>
      </c>
      <c r="L1137" s="70" t="s">
        <v>595</v>
      </c>
      <c r="M1137" s="12" t="s">
        <v>918</v>
      </c>
      <c r="N1137" s="26">
        <v>1</v>
      </c>
      <c r="O1137" s="57">
        <v>446429</v>
      </c>
      <c r="P1137" s="62">
        <f t="shared" si="19"/>
        <v>446429</v>
      </c>
      <c r="Q1137" s="6" t="s">
        <v>505</v>
      </c>
      <c r="R1137" s="6" t="s">
        <v>398</v>
      </c>
      <c r="S1137" s="38" t="s">
        <v>2037</v>
      </c>
      <c r="T1137" s="26">
        <v>100</v>
      </c>
    </row>
    <row r="1138" spans="1:20" ht="51" outlineLevel="1">
      <c r="B1138" s="6">
        <v>1122</v>
      </c>
      <c r="C1138" s="16" t="s">
        <v>714</v>
      </c>
      <c r="D1138" s="6" t="s">
        <v>601</v>
      </c>
      <c r="E1138" s="12" t="s">
        <v>544</v>
      </c>
      <c r="F1138" s="70" t="s">
        <v>2039</v>
      </c>
      <c r="G1138" s="70" t="s">
        <v>545</v>
      </c>
      <c r="H1138" s="70" t="s">
        <v>2039</v>
      </c>
      <c r="I1138" s="70" t="s">
        <v>545</v>
      </c>
      <c r="J1138" s="70" t="s">
        <v>2040</v>
      </c>
      <c r="K1138" s="70" t="s">
        <v>53</v>
      </c>
      <c r="L1138" s="70" t="s">
        <v>595</v>
      </c>
      <c r="M1138" s="12" t="s">
        <v>918</v>
      </c>
      <c r="N1138" s="26">
        <v>1</v>
      </c>
      <c r="O1138" s="57">
        <v>353571</v>
      </c>
      <c r="P1138" s="62">
        <f t="shared" si="19"/>
        <v>353571</v>
      </c>
      <c r="Q1138" s="6" t="s">
        <v>397</v>
      </c>
      <c r="R1138" s="6" t="s">
        <v>770</v>
      </c>
      <c r="S1138" s="38" t="s">
        <v>1025</v>
      </c>
      <c r="T1138" s="6">
        <v>0</v>
      </c>
    </row>
    <row r="1139" spans="1:20" ht="51" outlineLevel="1">
      <c r="A1139" s="61"/>
      <c r="B1139" s="6">
        <v>1123</v>
      </c>
      <c r="C1139" s="16" t="s">
        <v>714</v>
      </c>
      <c r="D1139" s="6" t="s">
        <v>601</v>
      </c>
      <c r="E1139" s="12" t="s">
        <v>544</v>
      </c>
      <c r="F1139" s="70" t="s">
        <v>2039</v>
      </c>
      <c r="G1139" s="70" t="s">
        <v>545</v>
      </c>
      <c r="H1139" s="70" t="s">
        <v>2039</v>
      </c>
      <c r="I1139" s="70" t="s">
        <v>545</v>
      </c>
      <c r="J1139" s="70" t="s">
        <v>2365</v>
      </c>
      <c r="K1139" s="70" t="s">
        <v>53</v>
      </c>
      <c r="L1139" s="70" t="s">
        <v>1489</v>
      </c>
      <c r="M1139" s="12" t="s">
        <v>918</v>
      </c>
      <c r="N1139" s="26">
        <v>1</v>
      </c>
      <c r="O1139" s="57">
        <f>P1139/N1139</f>
        <v>3300000</v>
      </c>
      <c r="P1139" s="62">
        <v>3300000</v>
      </c>
      <c r="Q1139" s="6" t="s">
        <v>397</v>
      </c>
      <c r="R1139" s="6" t="s">
        <v>770</v>
      </c>
      <c r="S1139" s="38" t="s">
        <v>2035</v>
      </c>
      <c r="T1139" s="26">
        <v>30</v>
      </c>
    </row>
    <row r="1140" spans="1:20" ht="51" outlineLevel="1">
      <c r="B1140" s="6">
        <v>1124</v>
      </c>
      <c r="C1140" s="16" t="s">
        <v>714</v>
      </c>
      <c r="D1140" s="6" t="s">
        <v>601</v>
      </c>
      <c r="E1140" s="12" t="s">
        <v>544</v>
      </c>
      <c r="F1140" s="70" t="s">
        <v>2039</v>
      </c>
      <c r="G1140" s="70" t="s">
        <v>545</v>
      </c>
      <c r="H1140" s="70" t="s">
        <v>2039</v>
      </c>
      <c r="I1140" s="70" t="s">
        <v>545</v>
      </c>
      <c r="J1140" s="70" t="s">
        <v>2040</v>
      </c>
      <c r="K1140" s="70" t="s">
        <v>53</v>
      </c>
      <c r="L1140" s="70" t="s">
        <v>595</v>
      </c>
      <c r="M1140" s="12" t="s">
        <v>918</v>
      </c>
      <c r="N1140" s="26">
        <v>1</v>
      </c>
      <c r="O1140" s="57">
        <f>P1140</f>
        <v>476554</v>
      </c>
      <c r="P1140" s="62">
        <f>1446429-800000-169875</f>
        <v>476554</v>
      </c>
      <c r="Q1140" s="6" t="s">
        <v>506</v>
      </c>
      <c r="R1140" s="6" t="s">
        <v>770</v>
      </c>
      <c r="S1140" s="38" t="s">
        <v>2030</v>
      </c>
      <c r="T1140" s="26">
        <v>30</v>
      </c>
    </row>
    <row r="1141" spans="1:20" ht="51" outlineLevel="1">
      <c r="B1141" s="6">
        <v>1125</v>
      </c>
      <c r="C1141" s="36" t="s">
        <v>714</v>
      </c>
      <c r="D1141" s="43" t="s">
        <v>601</v>
      </c>
      <c r="E1141" s="12" t="s">
        <v>544</v>
      </c>
      <c r="F1141" s="70" t="s">
        <v>2039</v>
      </c>
      <c r="G1141" s="70" t="s">
        <v>545</v>
      </c>
      <c r="H1141" s="70" t="s">
        <v>2039</v>
      </c>
      <c r="I1141" s="70" t="s">
        <v>545</v>
      </c>
      <c r="J1141" s="70" t="s">
        <v>2040</v>
      </c>
      <c r="K1141" s="70" t="s">
        <v>53</v>
      </c>
      <c r="L1141" s="70" t="s">
        <v>595</v>
      </c>
      <c r="M1141" s="12" t="s">
        <v>918</v>
      </c>
      <c r="N1141" s="26">
        <v>1</v>
      </c>
      <c r="O1141" s="57">
        <v>401250</v>
      </c>
      <c r="P1141" s="62">
        <f t="shared" ref="P1141:P1151" si="20">N1141*O1141</f>
        <v>401250</v>
      </c>
      <c r="Q1141" s="6" t="s">
        <v>506</v>
      </c>
      <c r="R1141" s="6" t="s">
        <v>770</v>
      </c>
      <c r="S1141" s="38" t="s">
        <v>2038</v>
      </c>
      <c r="T1141" s="26">
        <v>0</v>
      </c>
    </row>
    <row r="1142" spans="1:20" ht="51" outlineLevel="1">
      <c r="B1142" s="6">
        <v>1126</v>
      </c>
      <c r="C1142" s="36" t="s">
        <v>714</v>
      </c>
      <c r="D1142" s="43" t="s">
        <v>601</v>
      </c>
      <c r="E1142" s="6" t="s">
        <v>706</v>
      </c>
      <c r="F1142" s="70" t="s">
        <v>781</v>
      </c>
      <c r="G1142" s="70" t="s">
        <v>707</v>
      </c>
      <c r="H1142" s="70" t="s">
        <v>781</v>
      </c>
      <c r="I1142" s="70" t="s">
        <v>707</v>
      </c>
      <c r="J1142" s="70" t="s">
        <v>2382</v>
      </c>
      <c r="K1142" s="70" t="s">
        <v>2383</v>
      </c>
      <c r="L1142" s="70" t="s">
        <v>595</v>
      </c>
      <c r="M1142" s="12" t="s">
        <v>918</v>
      </c>
      <c r="N1142" s="26">
        <v>1</v>
      </c>
      <c r="O1142" s="57">
        <f>P1142</f>
        <v>49899733.309999995</v>
      </c>
      <c r="P1142" s="62">
        <f>48000000-2153571.42+4053304.73</f>
        <v>49899733.309999995</v>
      </c>
      <c r="Q1142" s="6" t="s">
        <v>519</v>
      </c>
      <c r="R1142" s="6" t="s">
        <v>770</v>
      </c>
      <c r="S1142" s="38" t="s">
        <v>2030</v>
      </c>
      <c r="T1142" s="26">
        <v>0</v>
      </c>
    </row>
    <row r="1143" spans="1:20" ht="51" outlineLevel="1">
      <c r="B1143" s="6">
        <v>1127</v>
      </c>
      <c r="C1143" s="36" t="s">
        <v>714</v>
      </c>
      <c r="D1143" s="43" t="s">
        <v>601</v>
      </c>
      <c r="E1143" s="6" t="s">
        <v>706</v>
      </c>
      <c r="F1143" s="70" t="s">
        <v>781</v>
      </c>
      <c r="G1143" s="70" t="s">
        <v>707</v>
      </c>
      <c r="H1143" s="70" t="s">
        <v>781</v>
      </c>
      <c r="I1143" s="70" t="s">
        <v>707</v>
      </c>
      <c r="J1143" s="70" t="s">
        <v>2382</v>
      </c>
      <c r="K1143" s="70" t="s">
        <v>2383</v>
      </c>
      <c r="L1143" s="70" t="s">
        <v>595</v>
      </c>
      <c r="M1143" s="12" t="s">
        <v>918</v>
      </c>
      <c r="N1143" s="26">
        <v>1</v>
      </c>
      <c r="O1143" s="57">
        <v>19285714</v>
      </c>
      <c r="P1143" s="62">
        <f t="shared" si="20"/>
        <v>19285714</v>
      </c>
      <c r="Q1143" s="6" t="s">
        <v>397</v>
      </c>
      <c r="R1143" s="6" t="s">
        <v>770</v>
      </c>
      <c r="S1143" s="38" t="s">
        <v>2032</v>
      </c>
      <c r="T1143" s="6">
        <v>0</v>
      </c>
    </row>
    <row r="1144" spans="1:20" ht="51">
      <c r="B1144" s="6">
        <v>1128</v>
      </c>
      <c r="C1144" s="16" t="s">
        <v>714</v>
      </c>
      <c r="D1144" s="6" t="s">
        <v>601</v>
      </c>
      <c r="E1144" s="6" t="s">
        <v>706</v>
      </c>
      <c r="F1144" s="70" t="s">
        <v>781</v>
      </c>
      <c r="G1144" s="70" t="s">
        <v>707</v>
      </c>
      <c r="H1144" s="70" t="s">
        <v>781</v>
      </c>
      <c r="I1144" s="70" t="s">
        <v>707</v>
      </c>
      <c r="J1144" s="70" t="s">
        <v>2382</v>
      </c>
      <c r="K1144" s="70" t="s">
        <v>2383</v>
      </c>
      <c r="L1144" s="70" t="s">
        <v>595</v>
      </c>
      <c r="M1144" s="12" t="s">
        <v>918</v>
      </c>
      <c r="N1144" s="26">
        <v>1</v>
      </c>
      <c r="O1144" s="57">
        <f>P1144</f>
        <v>4371429</v>
      </c>
      <c r="P1144" s="62">
        <f>15205714-10834285</f>
        <v>4371429</v>
      </c>
      <c r="Q1144" s="6" t="s">
        <v>397</v>
      </c>
      <c r="R1144" s="6" t="s">
        <v>770</v>
      </c>
      <c r="S1144" s="38">
        <v>351000000</v>
      </c>
      <c r="T1144" s="26">
        <v>0</v>
      </c>
    </row>
    <row r="1145" spans="1:20" ht="51">
      <c r="B1145" s="6">
        <v>1129</v>
      </c>
      <c r="C1145" s="36" t="s">
        <v>714</v>
      </c>
      <c r="D1145" s="43" t="s">
        <v>601</v>
      </c>
      <c r="E1145" s="6" t="s">
        <v>706</v>
      </c>
      <c r="F1145" s="70" t="s">
        <v>781</v>
      </c>
      <c r="G1145" s="70" t="s">
        <v>707</v>
      </c>
      <c r="H1145" s="70" t="s">
        <v>781</v>
      </c>
      <c r="I1145" s="70" t="s">
        <v>707</v>
      </c>
      <c r="J1145" s="70" t="s">
        <v>2382</v>
      </c>
      <c r="K1145" s="70" t="s">
        <v>2383</v>
      </c>
      <c r="L1145" s="70" t="s">
        <v>595</v>
      </c>
      <c r="M1145" s="12" t="s">
        <v>918</v>
      </c>
      <c r="N1145" s="26">
        <v>1</v>
      </c>
      <c r="O1145" s="57">
        <v>16781250</v>
      </c>
      <c r="P1145" s="62">
        <f t="shared" si="20"/>
        <v>16781250</v>
      </c>
      <c r="Q1145" s="6" t="s">
        <v>397</v>
      </c>
      <c r="R1145" s="6" t="s">
        <v>770</v>
      </c>
      <c r="S1145" s="38" t="s">
        <v>929</v>
      </c>
      <c r="T1145" s="26">
        <v>0</v>
      </c>
    </row>
    <row r="1146" spans="1:20" ht="51">
      <c r="B1146" s="6">
        <v>1130</v>
      </c>
      <c r="C1146" s="36" t="s">
        <v>714</v>
      </c>
      <c r="D1146" s="43" t="s">
        <v>601</v>
      </c>
      <c r="E1146" s="6" t="s">
        <v>706</v>
      </c>
      <c r="F1146" s="70" t="s">
        <v>781</v>
      </c>
      <c r="G1146" s="70" t="s">
        <v>707</v>
      </c>
      <c r="H1146" s="70" t="s">
        <v>781</v>
      </c>
      <c r="I1146" s="70" t="s">
        <v>707</v>
      </c>
      <c r="J1146" s="70" t="s">
        <v>2382</v>
      </c>
      <c r="K1146" s="70" t="s">
        <v>2383</v>
      </c>
      <c r="L1146" s="70" t="s">
        <v>595</v>
      </c>
      <c r="M1146" s="12" t="s">
        <v>918</v>
      </c>
      <c r="N1146" s="26">
        <v>1</v>
      </c>
      <c r="O1146" s="57">
        <v>19325280</v>
      </c>
      <c r="P1146" s="62">
        <f t="shared" si="20"/>
        <v>19325280</v>
      </c>
      <c r="Q1146" s="6" t="s">
        <v>397</v>
      </c>
      <c r="R1146" s="6" t="s">
        <v>770</v>
      </c>
      <c r="S1146" s="38" t="s">
        <v>719</v>
      </c>
      <c r="T1146" s="26">
        <v>0</v>
      </c>
    </row>
    <row r="1147" spans="1:20" ht="51">
      <c r="B1147" s="6">
        <v>1131</v>
      </c>
      <c r="C1147" s="36" t="s">
        <v>714</v>
      </c>
      <c r="D1147" s="43" t="s">
        <v>601</v>
      </c>
      <c r="E1147" s="6" t="s">
        <v>706</v>
      </c>
      <c r="F1147" s="70" t="s">
        <v>781</v>
      </c>
      <c r="G1147" s="70" t="s">
        <v>707</v>
      </c>
      <c r="H1147" s="70" t="s">
        <v>781</v>
      </c>
      <c r="I1147" s="70" t="s">
        <v>707</v>
      </c>
      <c r="J1147" s="70" t="s">
        <v>2382</v>
      </c>
      <c r="K1147" s="70" t="s">
        <v>2383</v>
      </c>
      <c r="L1147" s="70" t="s">
        <v>595</v>
      </c>
      <c r="M1147" s="12" t="s">
        <v>918</v>
      </c>
      <c r="N1147" s="26">
        <v>1</v>
      </c>
      <c r="O1147" s="57">
        <v>16781250</v>
      </c>
      <c r="P1147" s="62">
        <f t="shared" si="20"/>
        <v>16781250</v>
      </c>
      <c r="Q1147" s="6" t="s">
        <v>397</v>
      </c>
      <c r="R1147" s="6" t="s">
        <v>2378</v>
      </c>
      <c r="S1147" s="38">
        <v>591000000</v>
      </c>
      <c r="T1147" s="6">
        <v>0</v>
      </c>
    </row>
    <row r="1148" spans="1:20" ht="51" outlineLevel="1">
      <c r="B1148" s="6">
        <v>1132</v>
      </c>
      <c r="C1148" s="36" t="s">
        <v>714</v>
      </c>
      <c r="D1148" s="43" t="s">
        <v>601</v>
      </c>
      <c r="E1148" s="6" t="s">
        <v>706</v>
      </c>
      <c r="F1148" s="70" t="s">
        <v>781</v>
      </c>
      <c r="G1148" s="70" t="s">
        <v>707</v>
      </c>
      <c r="H1148" s="70" t="s">
        <v>781</v>
      </c>
      <c r="I1148" s="70" t="s">
        <v>707</v>
      </c>
      <c r="J1148" s="70" t="s">
        <v>2382</v>
      </c>
      <c r="K1148" s="70" t="s">
        <v>2383</v>
      </c>
      <c r="L1148" s="70" t="s">
        <v>595</v>
      </c>
      <c r="M1148" s="12" t="s">
        <v>918</v>
      </c>
      <c r="N1148" s="26">
        <v>1</v>
      </c>
      <c r="O1148" s="57">
        <f>P1148/N1148</f>
        <v>5508660</v>
      </c>
      <c r="P1148" s="62">
        <f>5957143-448483</f>
        <v>5508660</v>
      </c>
      <c r="Q1148" s="6" t="s">
        <v>397</v>
      </c>
      <c r="R1148" s="6" t="s">
        <v>770</v>
      </c>
      <c r="S1148" s="38" t="s">
        <v>698</v>
      </c>
      <c r="T1148" s="26">
        <v>0</v>
      </c>
    </row>
    <row r="1149" spans="1:20" ht="51" outlineLevel="1">
      <c r="B1149" s="6">
        <v>1133</v>
      </c>
      <c r="C1149" s="36" t="s">
        <v>714</v>
      </c>
      <c r="D1149" s="43" t="s">
        <v>601</v>
      </c>
      <c r="E1149" s="6" t="s">
        <v>706</v>
      </c>
      <c r="F1149" s="70" t="s">
        <v>781</v>
      </c>
      <c r="G1149" s="70" t="s">
        <v>707</v>
      </c>
      <c r="H1149" s="70" t="s">
        <v>781</v>
      </c>
      <c r="I1149" s="70" t="s">
        <v>707</v>
      </c>
      <c r="J1149" s="70" t="s">
        <v>2382</v>
      </c>
      <c r="K1149" s="70" t="s">
        <v>2383</v>
      </c>
      <c r="L1149" s="70" t="s">
        <v>595</v>
      </c>
      <c r="M1149" s="12" t="s">
        <v>918</v>
      </c>
      <c r="N1149" s="26">
        <v>1</v>
      </c>
      <c r="O1149" s="57">
        <f>P1149/N1149</f>
        <v>0</v>
      </c>
      <c r="P1149" s="62">
        <f>548571-548571</f>
        <v>0</v>
      </c>
      <c r="Q1149" s="6" t="s">
        <v>397</v>
      </c>
      <c r="R1149" s="6" t="s">
        <v>770</v>
      </c>
      <c r="S1149" s="38">
        <v>351810000</v>
      </c>
      <c r="T1149" s="26">
        <v>0</v>
      </c>
    </row>
    <row r="1150" spans="1:20" ht="51" outlineLevel="1">
      <c r="B1150" s="6">
        <v>1134</v>
      </c>
      <c r="C1150" s="36" t="s">
        <v>714</v>
      </c>
      <c r="D1150" s="43" t="s">
        <v>601</v>
      </c>
      <c r="E1150" s="6" t="s">
        <v>706</v>
      </c>
      <c r="F1150" s="70" t="s">
        <v>781</v>
      </c>
      <c r="G1150" s="70" t="s">
        <v>707</v>
      </c>
      <c r="H1150" s="70" t="s">
        <v>781</v>
      </c>
      <c r="I1150" s="70" t="s">
        <v>707</v>
      </c>
      <c r="J1150" s="70" t="s">
        <v>2382</v>
      </c>
      <c r="K1150" s="70" t="s">
        <v>2383</v>
      </c>
      <c r="L1150" s="70" t="s">
        <v>595</v>
      </c>
      <c r="M1150" s="12" t="s">
        <v>918</v>
      </c>
      <c r="N1150" s="26">
        <v>1</v>
      </c>
      <c r="O1150" s="57">
        <v>428571</v>
      </c>
      <c r="P1150" s="62">
        <f t="shared" si="20"/>
        <v>428571</v>
      </c>
      <c r="Q1150" s="6" t="s">
        <v>397</v>
      </c>
      <c r="R1150" s="6" t="s">
        <v>770</v>
      </c>
      <c r="S1150" s="38" t="s">
        <v>2033</v>
      </c>
      <c r="T1150" s="26">
        <v>0</v>
      </c>
    </row>
    <row r="1151" spans="1:20" ht="51" outlineLevel="1">
      <c r="B1151" s="6">
        <v>1135</v>
      </c>
      <c r="C1151" s="36" t="s">
        <v>714</v>
      </c>
      <c r="D1151" s="43" t="s">
        <v>601</v>
      </c>
      <c r="E1151" s="6" t="s">
        <v>706</v>
      </c>
      <c r="F1151" s="70" t="s">
        <v>781</v>
      </c>
      <c r="G1151" s="70" t="s">
        <v>707</v>
      </c>
      <c r="H1151" s="70" t="s">
        <v>781</v>
      </c>
      <c r="I1151" s="70" t="s">
        <v>707</v>
      </c>
      <c r="J1151" s="70" t="s">
        <v>2382</v>
      </c>
      <c r="K1151" s="70" t="s">
        <v>2383</v>
      </c>
      <c r="L1151" s="70" t="s">
        <v>595</v>
      </c>
      <c r="M1151" s="12" t="s">
        <v>918</v>
      </c>
      <c r="N1151" s="26">
        <v>1</v>
      </c>
      <c r="O1151" s="57">
        <v>2464286</v>
      </c>
      <c r="P1151" s="62">
        <f t="shared" si="20"/>
        <v>2464286</v>
      </c>
      <c r="Q1151" s="6" t="s">
        <v>397</v>
      </c>
      <c r="R1151" s="6" t="s">
        <v>770</v>
      </c>
      <c r="S1151" s="38" t="s">
        <v>782</v>
      </c>
      <c r="T1151" s="26">
        <v>0</v>
      </c>
    </row>
    <row r="1152" spans="1:20" ht="51" outlineLevel="1">
      <c r="B1152" s="6">
        <v>1136</v>
      </c>
      <c r="C1152" s="16" t="s">
        <v>714</v>
      </c>
      <c r="D1152" s="6" t="s">
        <v>601</v>
      </c>
      <c r="E1152" s="58" t="s">
        <v>617</v>
      </c>
      <c r="F1152" s="70" t="s">
        <v>1809</v>
      </c>
      <c r="G1152" s="70" t="s">
        <v>618</v>
      </c>
      <c r="H1152" s="70" t="s">
        <v>1810</v>
      </c>
      <c r="I1152" s="70" t="s">
        <v>619</v>
      </c>
      <c r="J1152" s="70" t="s">
        <v>1811</v>
      </c>
      <c r="K1152" s="70" t="s">
        <v>1360</v>
      </c>
      <c r="L1152" s="70" t="s">
        <v>1490</v>
      </c>
      <c r="M1152" s="12" t="s">
        <v>918</v>
      </c>
      <c r="N1152" s="26">
        <v>1</v>
      </c>
      <c r="O1152" s="57">
        <f>P1152/N1152</f>
        <v>12857144</v>
      </c>
      <c r="P1152" s="62">
        <v>12857144</v>
      </c>
      <c r="Q1152" s="6" t="s">
        <v>397</v>
      </c>
      <c r="R1152" s="6" t="s">
        <v>770</v>
      </c>
      <c r="S1152" s="38" t="s">
        <v>1179</v>
      </c>
      <c r="T1152" s="26">
        <v>0</v>
      </c>
    </row>
    <row r="1153" spans="1:16370" ht="38.25">
      <c r="A1153" s="2"/>
      <c r="B1153" s="6">
        <v>1137</v>
      </c>
      <c r="C1153" s="16" t="s">
        <v>714</v>
      </c>
      <c r="D1153" s="6" t="s">
        <v>601</v>
      </c>
      <c r="E1153" s="38" t="s">
        <v>978</v>
      </c>
      <c r="F1153" s="70" t="s">
        <v>1170</v>
      </c>
      <c r="G1153" s="70" t="s">
        <v>56</v>
      </c>
      <c r="H1153" s="70" t="s">
        <v>1171</v>
      </c>
      <c r="I1153" s="70" t="s">
        <v>979</v>
      </c>
      <c r="J1153" s="70" t="s">
        <v>1170</v>
      </c>
      <c r="K1153" s="70" t="s">
        <v>56</v>
      </c>
      <c r="L1153" s="70" t="s">
        <v>595</v>
      </c>
      <c r="M1153" s="12" t="s">
        <v>918</v>
      </c>
      <c r="N1153" s="26">
        <v>1</v>
      </c>
      <c r="O1153" s="57">
        <v>1339286</v>
      </c>
      <c r="P1153" s="62">
        <f t="shared" ref="P1153:P1216" si="21">N1153*O1153</f>
        <v>1339286</v>
      </c>
      <c r="Q1153" s="6" t="s">
        <v>397</v>
      </c>
      <c r="R1153" s="6" t="s">
        <v>398</v>
      </c>
      <c r="S1153" s="38" t="s">
        <v>1179</v>
      </c>
      <c r="T1153" s="6">
        <v>50</v>
      </c>
      <c r="U1153" s="14"/>
      <c r="V1153" s="14"/>
      <c r="W1153" s="14"/>
      <c r="X1153" s="14"/>
      <c r="Y1153" s="14"/>
      <c r="Z1153" s="14"/>
      <c r="AA1153" s="14"/>
      <c r="AB1153" s="14"/>
      <c r="AC1153" s="14"/>
      <c r="AD1153" s="14"/>
      <c r="AE1153" s="14"/>
      <c r="AF1153" s="14"/>
      <c r="AG1153" s="14"/>
      <c r="AH1153" s="14"/>
      <c r="AI1153" s="14"/>
      <c r="AJ1153" s="14"/>
      <c r="AK1153" s="14"/>
      <c r="AL1153" s="14"/>
      <c r="AM1153" s="14"/>
      <c r="AN1153" s="14"/>
      <c r="AO1153" s="14"/>
      <c r="AP1153" s="14"/>
      <c r="AQ1153" s="14"/>
      <c r="AR1153" s="14"/>
      <c r="AS1153" s="14"/>
      <c r="AT1153" s="14"/>
      <c r="AU1153" s="14"/>
      <c r="AV1153" s="14"/>
      <c r="AW1153" s="14"/>
      <c r="AX1153" s="14"/>
      <c r="AY1153" s="14"/>
      <c r="AZ1153" s="14"/>
      <c r="BA1153" s="14"/>
      <c r="BB1153" s="14"/>
      <c r="BC1153" s="14"/>
      <c r="BD1153" s="14"/>
      <c r="BE1153" s="14"/>
      <c r="BF1153" s="14"/>
      <c r="BG1153" s="14"/>
      <c r="BH1153" s="14"/>
      <c r="BI1153" s="14"/>
      <c r="BJ1153" s="14"/>
      <c r="BK1153" s="14"/>
      <c r="BL1153" s="14"/>
      <c r="BM1153" s="14"/>
      <c r="BN1153" s="14"/>
      <c r="BO1153" s="14"/>
      <c r="BP1153" s="14"/>
      <c r="BQ1153" s="14"/>
      <c r="BR1153" s="14"/>
      <c r="BS1153" s="14"/>
      <c r="BT1153" s="14"/>
      <c r="BU1153" s="14"/>
      <c r="BV1153" s="14"/>
      <c r="BW1153" s="14"/>
      <c r="BX1153" s="14"/>
      <c r="BY1153" s="14"/>
      <c r="BZ1153" s="14"/>
      <c r="CA1153" s="14"/>
      <c r="CB1153" s="14"/>
      <c r="CC1153" s="14"/>
      <c r="CD1153" s="14"/>
      <c r="CE1153" s="14"/>
      <c r="CF1153" s="14"/>
      <c r="CG1153" s="14"/>
      <c r="CH1153" s="14"/>
      <c r="CI1153" s="14"/>
      <c r="CJ1153" s="14"/>
      <c r="CK1153" s="14"/>
      <c r="CL1153" s="14"/>
      <c r="CM1153" s="14"/>
      <c r="CN1153" s="14"/>
      <c r="CO1153" s="14"/>
      <c r="CP1153" s="14"/>
      <c r="CQ1153" s="14"/>
      <c r="CR1153" s="14"/>
      <c r="CS1153" s="14"/>
      <c r="CT1153" s="14"/>
      <c r="CU1153" s="14"/>
      <c r="CV1153" s="14"/>
      <c r="CW1153" s="14"/>
      <c r="CX1153" s="14"/>
      <c r="CY1153" s="14"/>
      <c r="CZ1153" s="14"/>
      <c r="DA1153" s="14"/>
      <c r="DB1153" s="14"/>
      <c r="DC1153" s="14"/>
      <c r="DD1153" s="14"/>
      <c r="DE1153" s="14"/>
      <c r="DF1153" s="14"/>
      <c r="DG1153" s="14"/>
      <c r="DH1153" s="14"/>
      <c r="DI1153" s="14"/>
      <c r="DJ1153" s="14"/>
      <c r="DK1153" s="14"/>
      <c r="DL1153" s="14"/>
      <c r="DM1153" s="14"/>
      <c r="DN1153" s="14"/>
      <c r="DO1153" s="14"/>
      <c r="DP1153" s="14"/>
      <c r="DQ1153" s="14"/>
      <c r="DR1153" s="14"/>
      <c r="DS1153" s="14"/>
      <c r="DT1153" s="14"/>
      <c r="DU1153" s="14"/>
      <c r="DV1153" s="14"/>
      <c r="DW1153" s="14"/>
      <c r="DX1153" s="14"/>
      <c r="DY1153" s="14"/>
      <c r="DZ1153" s="14"/>
      <c r="EA1153" s="14"/>
      <c r="EB1153" s="14"/>
      <c r="EC1153" s="14"/>
      <c r="ED1153" s="14"/>
      <c r="EE1153" s="14"/>
      <c r="EF1153" s="14"/>
      <c r="EG1153" s="14"/>
      <c r="EH1153" s="14"/>
      <c r="EI1153" s="14"/>
      <c r="EJ1153" s="14"/>
      <c r="EK1153" s="14"/>
      <c r="EL1153" s="14"/>
      <c r="EM1153" s="14"/>
      <c r="EN1153" s="14"/>
      <c r="EO1153" s="14"/>
      <c r="EP1153" s="14"/>
      <c r="EQ1153" s="14"/>
      <c r="ER1153" s="14"/>
      <c r="ES1153" s="14"/>
      <c r="ET1153" s="14"/>
      <c r="EU1153" s="14"/>
      <c r="EV1153" s="14"/>
      <c r="EW1153" s="14"/>
      <c r="EX1153" s="14"/>
      <c r="EY1153" s="14"/>
      <c r="EZ1153" s="14"/>
      <c r="FA1153" s="14"/>
      <c r="FB1153" s="14"/>
      <c r="FC1153" s="14"/>
      <c r="FD1153" s="14"/>
      <c r="FE1153" s="14"/>
      <c r="FF1153" s="14"/>
      <c r="FG1153" s="14"/>
      <c r="FH1153" s="14"/>
      <c r="FI1153" s="14"/>
      <c r="FJ1153" s="14"/>
      <c r="FK1153" s="14"/>
      <c r="FL1153" s="14"/>
      <c r="FM1153" s="14"/>
      <c r="FN1153" s="14"/>
      <c r="FO1153" s="14"/>
      <c r="FP1153" s="14"/>
      <c r="FQ1153" s="14"/>
      <c r="FR1153" s="14"/>
      <c r="FS1153" s="14"/>
      <c r="FT1153" s="14"/>
      <c r="FU1153" s="14"/>
      <c r="FV1153" s="14"/>
      <c r="FW1153" s="14"/>
      <c r="FX1153" s="14"/>
      <c r="FY1153" s="14"/>
      <c r="FZ1153" s="14"/>
      <c r="GA1153" s="14"/>
      <c r="GB1153" s="14"/>
      <c r="GC1153" s="14"/>
      <c r="GD1153" s="14"/>
      <c r="GE1153" s="14"/>
      <c r="GF1153" s="14"/>
      <c r="GG1153" s="14"/>
      <c r="GH1153" s="14"/>
      <c r="GI1153" s="14"/>
      <c r="GJ1153" s="14"/>
      <c r="GK1153" s="14"/>
      <c r="GL1153" s="14"/>
      <c r="GM1153" s="14"/>
      <c r="GN1153" s="14"/>
      <c r="GO1153" s="14"/>
      <c r="GP1153" s="14"/>
      <c r="GQ1153" s="14"/>
      <c r="GR1153" s="14"/>
      <c r="GS1153" s="14"/>
      <c r="GT1153" s="14"/>
      <c r="GU1153" s="14"/>
      <c r="GV1153" s="14"/>
      <c r="GW1153" s="14"/>
      <c r="GX1153" s="14"/>
      <c r="GY1153" s="14"/>
      <c r="GZ1153" s="14"/>
      <c r="HA1153" s="14"/>
      <c r="HB1153" s="14"/>
      <c r="HC1153" s="14"/>
      <c r="HD1153" s="14"/>
      <c r="HE1153" s="14"/>
      <c r="HF1153" s="14"/>
      <c r="HG1153" s="14"/>
      <c r="HH1153" s="14"/>
      <c r="HI1153" s="14"/>
      <c r="HJ1153" s="14"/>
      <c r="HK1153" s="14"/>
      <c r="HL1153" s="14"/>
      <c r="HM1153" s="14"/>
      <c r="HN1153" s="14"/>
      <c r="HO1153" s="14"/>
      <c r="HP1153" s="14"/>
      <c r="HQ1153" s="14"/>
      <c r="HR1153" s="14"/>
      <c r="HS1153" s="14"/>
      <c r="HT1153" s="14"/>
      <c r="HU1153" s="14"/>
      <c r="HV1153" s="14"/>
      <c r="HW1153" s="14"/>
      <c r="HX1153" s="14"/>
      <c r="HY1153" s="14"/>
      <c r="HZ1153" s="14"/>
      <c r="IA1153" s="14"/>
      <c r="IB1153" s="14"/>
      <c r="IC1153" s="14"/>
      <c r="ID1153" s="14"/>
      <c r="IE1153" s="14"/>
      <c r="IF1153" s="14"/>
      <c r="IG1153" s="14"/>
      <c r="IH1153" s="14"/>
      <c r="II1153" s="14"/>
      <c r="IJ1153" s="14"/>
      <c r="IK1153" s="14"/>
      <c r="IL1153" s="14"/>
      <c r="IM1153" s="14"/>
      <c r="IN1153" s="14"/>
      <c r="IO1153" s="14"/>
      <c r="IP1153" s="14"/>
      <c r="IQ1153" s="14"/>
      <c r="IR1153" s="14"/>
      <c r="IS1153" s="14"/>
      <c r="IT1153" s="14"/>
      <c r="IU1153" s="14"/>
      <c r="IV1153" s="14"/>
      <c r="IW1153" s="14"/>
      <c r="IX1153" s="14"/>
      <c r="IY1153" s="14"/>
      <c r="IZ1153" s="14"/>
      <c r="JA1153" s="14"/>
      <c r="JB1153" s="14"/>
      <c r="JC1153" s="14"/>
      <c r="JD1153" s="14"/>
      <c r="JE1153" s="14"/>
      <c r="JF1153" s="14"/>
      <c r="JG1153" s="14"/>
      <c r="JH1153" s="14"/>
      <c r="JI1153" s="14"/>
      <c r="JJ1153" s="14"/>
      <c r="JK1153" s="14"/>
      <c r="JL1153" s="14"/>
      <c r="JM1153" s="14"/>
      <c r="JN1153" s="14"/>
      <c r="JO1153" s="14"/>
      <c r="JP1153" s="14"/>
      <c r="JQ1153" s="14"/>
      <c r="JR1153" s="14"/>
      <c r="JS1153" s="14"/>
      <c r="JT1153" s="14"/>
      <c r="JU1153" s="14"/>
      <c r="JV1153" s="14"/>
      <c r="JW1153" s="14"/>
      <c r="JX1153" s="14"/>
      <c r="JY1153" s="14"/>
      <c r="JZ1153" s="14"/>
      <c r="KA1153" s="14"/>
      <c r="KB1153" s="14"/>
      <c r="KC1153" s="14"/>
      <c r="KD1153" s="14"/>
      <c r="KE1153" s="14"/>
      <c r="KF1153" s="14"/>
      <c r="KG1153" s="14"/>
      <c r="KH1153" s="14"/>
      <c r="KI1153" s="14"/>
      <c r="KJ1153" s="14"/>
      <c r="KK1153" s="14"/>
      <c r="KL1153" s="14"/>
      <c r="KM1153" s="14"/>
      <c r="KN1153" s="14"/>
      <c r="KO1153" s="14"/>
      <c r="KP1153" s="14"/>
      <c r="KQ1153" s="14"/>
      <c r="KR1153" s="14"/>
      <c r="KS1153" s="14"/>
      <c r="KT1153" s="14"/>
      <c r="KU1153" s="14"/>
      <c r="KV1153" s="14"/>
      <c r="KW1153" s="14"/>
      <c r="KX1153" s="14"/>
      <c r="KY1153" s="14"/>
      <c r="KZ1153" s="14"/>
      <c r="LA1153" s="14"/>
      <c r="LB1153" s="14"/>
      <c r="LC1153" s="14"/>
      <c r="LD1153" s="14"/>
      <c r="LE1153" s="14"/>
      <c r="LF1153" s="14"/>
      <c r="LG1153" s="14"/>
      <c r="LH1153" s="14"/>
      <c r="LI1153" s="14"/>
      <c r="LJ1153" s="14"/>
      <c r="LK1153" s="14"/>
      <c r="LL1153" s="14"/>
      <c r="LM1153" s="14"/>
      <c r="LN1153" s="14"/>
      <c r="LO1153" s="14"/>
      <c r="LP1153" s="14"/>
      <c r="LQ1153" s="14"/>
      <c r="LR1153" s="14"/>
      <c r="LS1153" s="14"/>
      <c r="LT1153" s="14"/>
      <c r="LU1153" s="14"/>
      <c r="LV1153" s="14"/>
      <c r="LW1153" s="14"/>
      <c r="LX1153" s="14"/>
      <c r="LY1153" s="14"/>
      <c r="LZ1153" s="14"/>
      <c r="MA1153" s="14"/>
      <c r="MB1153" s="14"/>
      <c r="MC1153" s="14"/>
      <c r="MD1153" s="14"/>
      <c r="ME1153" s="14"/>
      <c r="MF1153" s="14"/>
      <c r="MG1153" s="14"/>
      <c r="MH1153" s="14"/>
      <c r="MI1153" s="14"/>
      <c r="MJ1153" s="14"/>
      <c r="MK1153" s="14"/>
      <c r="ML1153" s="14"/>
      <c r="MM1153" s="14"/>
      <c r="MN1153" s="14"/>
      <c r="MO1153" s="14"/>
      <c r="MP1153" s="14"/>
      <c r="MQ1153" s="14"/>
      <c r="MR1153" s="14"/>
      <c r="MS1153" s="14"/>
      <c r="MT1153" s="14"/>
      <c r="MU1153" s="14"/>
      <c r="MV1153" s="14"/>
      <c r="MW1153" s="14"/>
      <c r="MX1153" s="14"/>
      <c r="MY1153" s="14"/>
      <c r="MZ1153" s="14"/>
      <c r="NA1153" s="14"/>
      <c r="NB1153" s="14"/>
      <c r="NC1153" s="14"/>
      <c r="ND1153" s="14"/>
      <c r="NE1153" s="14"/>
      <c r="NF1153" s="14"/>
      <c r="NG1153" s="14"/>
      <c r="NH1153" s="14"/>
      <c r="NI1153" s="14"/>
      <c r="NJ1153" s="14"/>
      <c r="NK1153" s="14"/>
      <c r="NL1153" s="14"/>
      <c r="NM1153" s="14"/>
      <c r="NN1153" s="14"/>
      <c r="NO1153" s="14"/>
      <c r="NP1153" s="14"/>
      <c r="NQ1153" s="14"/>
      <c r="NR1153" s="14"/>
      <c r="NS1153" s="14"/>
      <c r="NT1153" s="14"/>
      <c r="NU1153" s="14"/>
      <c r="NV1153" s="14"/>
      <c r="NW1153" s="14"/>
      <c r="NX1153" s="14"/>
      <c r="NY1153" s="14"/>
      <c r="NZ1153" s="14"/>
      <c r="OA1153" s="14"/>
      <c r="OB1153" s="14"/>
      <c r="OC1153" s="14"/>
      <c r="OD1153" s="14"/>
      <c r="OE1153" s="14"/>
      <c r="OF1153" s="14"/>
      <c r="OG1153" s="14"/>
      <c r="OH1153" s="14"/>
      <c r="OI1153" s="14"/>
      <c r="OJ1153" s="14"/>
      <c r="OK1153" s="14"/>
      <c r="OL1153" s="14"/>
      <c r="OM1153" s="14"/>
      <c r="ON1153" s="14"/>
      <c r="OO1153" s="14"/>
      <c r="OP1153" s="14"/>
      <c r="OQ1153" s="14"/>
      <c r="OR1153" s="14"/>
      <c r="OS1153" s="14"/>
      <c r="OT1153" s="14"/>
      <c r="OU1153" s="14"/>
      <c r="OV1153" s="14"/>
      <c r="OW1153" s="14"/>
      <c r="OX1153" s="14"/>
      <c r="OY1153" s="14"/>
      <c r="OZ1153" s="14"/>
      <c r="PA1153" s="14"/>
      <c r="PB1153" s="14"/>
      <c r="PC1153" s="14"/>
      <c r="PD1153" s="14"/>
      <c r="PE1153" s="14"/>
      <c r="PF1153" s="14"/>
      <c r="PG1153" s="14"/>
      <c r="PH1153" s="14"/>
      <c r="PI1153" s="14"/>
      <c r="PJ1153" s="14"/>
      <c r="PK1153" s="14"/>
      <c r="PL1153" s="14"/>
      <c r="PM1153" s="14"/>
      <c r="PN1153" s="14"/>
      <c r="PO1153" s="14"/>
      <c r="PP1153" s="14"/>
      <c r="PQ1153" s="14"/>
      <c r="PR1153" s="14"/>
      <c r="PS1153" s="14"/>
      <c r="PT1153" s="14"/>
      <c r="PU1153" s="14"/>
      <c r="PV1153" s="14"/>
      <c r="PW1153" s="14"/>
      <c r="PX1153" s="14"/>
      <c r="PY1153" s="14"/>
      <c r="PZ1153" s="14"/>
      <c r="QA1153" s="14"/>
      <c r="QB1153" s="14"/>
      <c r="QC1153" s="14"/>
      <c r="QD1153" s="14"/>
      <c r="QE1153" s="14"/>
      <c r="QF1153" s="14"/>
      <c r="QG1153" s="14"/>
      <c r="QH1153" s="14"/>
      <c r="QI1153" s="14"/>
      <c r="QJ1153" s="14"/>
      <c r="QK1153" s="14"/>
      <c r="QL1153" s="14"/>
      <c r="QM1153" s="14"/>
      <c r="QN1153" s="14"/>
      <c r="QO1153" s="14"/>
      <c r="QP1153" s="14"/>
      <c r="QQ1153" s="14"/>
      <c r="QR1153" s="14"/>
      <c r="QS1153" s="14"/>
      <c r="QT1153" s="14"/>
      <c r="QU1153" s="14"/>
      <c r="QV1153" s="14"/>
      <c r="QW1153" s="14"/>
      <c r="QX1153" s="14"/>
      <c r="QY1153" s="14"/>
      <c r="QZ1153" s="14"/>
      <c r="RA1153" s="14"/>
      <c r="RB1153" s="14"/>
      <c r="RC1153" s="14"/>
      <c r="RD1153" s="14"/>
      <c r="RE1153" s="14"/>
      <c r="RF1153" s="14"/>
      <c r="RG1153" s="14"/>
      <c r="RH1153" s="14"/>
      <c r="RI1153" s="14"/>
      <c r="RJ1153" s="14"/>
      <c r="RK1153" s="14"/>
      <c r="RL1153" s="14"/>
      <c r="RM1153" s="14"/>
      <c r="RN1153" s="14"/>
      <c r="RO1153" s="14"/>
      <c r="RP1153" s="14"/>
      <c r="RQ1153" s="14"/>
      <c r="RR1153" s="14"/>
      <c r="RS1153" s="14"/>
      <c r="RT1153" s="14"/>
      <c r="RU1153" s="14"/>
      <c r="RV1153" s="14"/>
      <c r="RW1153" s="14"/>
      <c r="RX1153" s="14"/>
      <c r="RY1153" s="14"/>
      <c r="RZ1153" s="14"/>
      <c r="SA1153" s="14"/>
      <c r="SB1153" s="14"/>
      <c r="SC1153" s="14"/>
      <c r="SD1153" s="14"/>
      <c r="SE1153" s="14"/>
      <c r="SF1153" s="14"/>
      <c r="SG1153" s="14"/>
      <c r="SH1153" s="14"/>
      <c r="SI1153" s="14"/>
      <c r="SJ1153" s="14"/>
      <c r="SK1153" s="14"/>
      <c r="SL1153" s="14"/>
      <c r="SM1153" s="14"/>
      <c r="SN1153" s="14"/>
      <c r="SO1153" s="14"/>
      <c r="SP1153" s="14"/>
      <c r="SQ1153" s="14"/>
      <c r="SR1153" s="14"/>
      <c r="SS1153" s="14"/>
      <c r="ST1153" s="14"/>
      <c r="SU1153" s="14"/>
      <c r="SV1153" s="14"/>
      <c r="SW1153" s="14"/>
      <c r="SX1153" s="14"/>
      <c r="SY1153" s="14"/>
      <c r="SZ1153" s="14"/>
      <c r="TA1153" s="14"/>
      <c r="TB1153" s="14"/>
      <c r="TC1153" s="14"/>
      <c r="TD1153" s="14"/>
      <c r="TE1153" s="14"/>
      <c r="TF1153" s="14"/>
      <c r="TG1153" s="14"/>
      <c r="TH1153" s="14"/>
      <c r="TI1153" s="14"/>
      <c r="TJ1153" s="14"/>
      <c r="TK1153" s="14"/>
      <c r="TL1153" s="14"/>
      <c r="TM1153" s="14"/>
      <c r="TN1153" s="14"/>
      <c r="TO1153" s="14"/>
      <c r="TP1153" s="14"/>
      <c r="TQ1153" s="14"/>
      <c r="TR1153" s="14"/>
      <c r="TS1153" s="14"/>
      <c r="TT1153" s="14"/>
      <c r="TU1153" s="14"/>
      <c r="TV1153" s="14"/>
      <c r="TW1153" s="14"/>
      <c r="TX1153" s="14"/>
      <c r="TY1153" s="14"/>
      <c r="TZ1153" s="14"/>
      <c r="UA1153" s="14"/>
      <c r="UB1153" s="14"/>
      <c r="UC1153" s="14"/>
      <c r="UD1153" s="14"/>
      <c r="UE1153" s="14"/>
      <c r="UF1153" s="14"/>
      <c r="UG1153" s="14"/>
      <c r="UH1153" s="14"/>
      <c r="UI1153" s="14"/>
      <c r="UJ1153" s="14"/>
      <c r="UK1153" s="14"/>
      <c r="UL1153" s="14"/>
      <c r="UM1153" s="14"/>
      <c r="UN1153" s="14"/>
      <c r="UO1153" s="14"/>
      <c r="UP1153" s="14"/>
      <c r="UQ1153" s="14"/>
      <c r="UR1153" s="14"/>
      <c r="US1153" s="14"/>
      <c r="UT1153" s="14"/>
      <c r="UU1153" s="14"/>
      <c r="UV1153" s="14"/>
      <c r="UW1153" s="14"/>
      <c r="UX1153" s="14"/>
      <c r="UY1153" s="14"/>
      <c r="UZ1153" s="14"/>
      <c r="VA1153" s="14"/>
      <c r="VB1153" s="14"/>
      <c r="VC1153" s="14"/>
      <c r="VD1153" s="14"/>
      <c r="VE1153" s="14"/>
      <c r="VF1153" s="14"/>
      <c r="VG1153" s="14"/>
      <c r="VH1153" s="14"/>
      <c r="VI1153" s="14"/>
      <c r="VJ1153" s="14"/>
      <c r="VK1153" s="14"/>
      <c r="VL1153" s="14"/>
      <c r="VM1153" s="14"/>
      <c r="VN1153" s="14"/>
      <c r="VO1153" s="14"/>
      <c r="VP1153" s="14"/>
      <c r="VQ1153" s="14"/>
      <c r="VR1153" s="14"/>
      <c r="VS1153" s="14"/>
      <c r="VT1153" s="14"/>
      <c r="VU1153" s="14"/>
      <c r="VV1153" s="14"/>
      <c r="VW1153" s="14"/>
      <c r="VX1153" s="14"/>
      <c r="VY1153" s="14"/>
      <c r="VZ1153" s="14"/>
      <c r="WA1153" s="14"/>
      <c r="WB1153" s="14"/>
      <c r="WC1153" s="14"/>
      <c r="WD1153" s="14"/>
      <c r="WE1153" s="14"/>
      <c r="WF1153" s="14"/>
      <c r="WG1153" s="14"/>
      <c r="WH1153" s="14"/>
      <c r="WI1153" s="14"/>
      <c r="WJ1153" s="14"/>
      <c r="WK1153" s="14"/>
      <c r="WL1153" s="14"/>
      <c r="WM1153" s="14"/>
      <c r="WN1153" s="14"/>
      <c r="WO1153" s="14"/>
      <c r="WP1153" s="14"/>
      <c r="WQ1153" s="14"/>
      <c r="WR1153" s="14"/>
      <c r="WS1153" s="14"/>
      <c r="WT1153" s="14"/>
      <c r="WU1153" s="14"/>
      <c r="WV1153" s="14"/>
      <c r="WW1153" s="14"/>
      <c r="WX1153" s="14"/>
      <c r="WY1153" s="14"/>
      <c r="WZ1153" s="14"/>
      <c r="XA1153" s="14"/>
      <c r="XB1153" s="14"/>
      <c r="XC1153" s="14"/>
      <c r="XD1153" s="14"/>
      <c r="XE1153" s="14"/>
      <c r="XF1153" s="14"/>
      <c r="XG1153" s="14"/>
      <c r="XH1153" s="14"/>
      <c r="XI1153" s="14"/>
      <c r="XJ1153" s="14"/>
      <c r="XK1153" s="14"/>
      <c r="XL1153" s="14"/>
      <c r="XM1153" s="14"/>
      <c r="XN1153" s="14"/>
      <c r="XO1153" s="14"/>
      <c r="XP1153" s="14"/>
      <c r="XQ1153" s="14"/>
      <c r="XR1153" s="14"/>
      <c r="XS1153" s="14"/>
      <c r="XT1153" s="14"/>
      <c r="XU1153" s="14"/>
      <c r="XV1153" s="14"/>
      <c r="XW1153" s="14"/>
      <c r="XX1153" s="14"/>
      <c r="XY1153" s="14"/>
      <c r="XZ1153" s="14"/>
      <c r="YA1153" s="14"/>
      <c r="YB1153" s="14"/>
      <c r="YC1153" s="14"/>
      <c r="YD1153" s="14"/>
      <c r="YE1153" s="14"/>
      <c r="YF1153" s="14"/>
      <c r="YG1153" s="14"/>
      <c r="YH1153" s="14"/>
      <c r="YI1153" s="14"/>
      <c r="YJ1153" s="14"/>
      <c r="YK1153" s="14"/>
      <c r="YL1153" s="14"/>
      <c r="YM1153" s="14"/>
      <c r="YN1153" s="14"/>
      <c r="YO1153" s="14"/>
      <c r="YP1153" s="14"/>
      <c r="YQ1153" s="14"/>
      <c r="YR1153" s="14"/>
      <c r="YS1153" s="14"/>
      <c r="YT1153" s="14"/>
      <c r="YU1153" s="14"/>
      <c r="YV1153" s="14"/>
      <c r="YW1153" s="14"/>
      <c r="YX1153" s="14"/>
      <c r="YY1153" s="14"/>
      <c r="YZ1153" s="14"/>
      <c r="ZA1153" s="14"/>
      <c r="ZB1153" s="14"/>
      <c r="ZC1153" s="14"/>
      <c r="ZD1153" s="14"/>
      <c r="ZE1153" s="14"/>
      <c r="ZF1153" s="14"/>
      <c r="ZG1153" s="14"/>
      <c r="ZH1153" s="14"/>
      <c r="ZI1153" s="14"/>
      <c r="ZJ1153" s="14"/>
      <c r="ZK1153" s="14"/>
      <c r="ZL1153" s="14"/>
      <c r="ZM1153" s="14"/>
      <c r="ZN1153" s="14"/>
      <c r="ZO1153" s="14"/>
      <c r="ZP1153" s="14"/>
      <c r="ZQ1153" s="14"/>
      <c r="ZR1153" s="14"/>
      <c r="ZS1153" s="14"/>
      <c r="ZT1153" s="14"/>
      <c r="ZU1153" s="14"/>
      <c r="ZV1153" s="14"/>
      <c r="ZW1153" s="14"/>
      <c r="ZX1153" s="14"/>
      <c r="ZY1153" s="14"/>
      <c r="ZZ1153" s="14"/>
      <c r="AAA1153" s="14"/>
      <c r="AAB1153" s="14"/>
      <c r="AAC1153" s="14"/>
      <c r="AAD1153" s="14"/>
      <c r="AAE1153" s="14"/>
      <c r="AAF1153" s="14"/>
      <c r="AAG1153" s="14"/>
      <c r="AAH1153" s="14"/>
      <c r="AAI1153" s="14"/>
      <c r="AAJ1153" s="14"/>
      <c r="AAK1153" s="14"/>
      <c r="AAL1153" s="14"/>
      <c r="AAM1153" s="14"/>
      <c r="AAN1153" s="14"/>
      <c r="AAO1153" s="14"/>
      <c r="AAP1153" s="14"/>
      <c r="AAQ1153" s="14"/>
      <c r="AAR1153" s="14"/>
      <c r="AAS1153" s="14"/>
      <c r="AAT1153" s="14"/>
      <c r="AAU1153" s="14"/>
      <c r="AAV1153" s="14"/>
      <c r="AAW1153" s="14"/>
      <c r="AAX1153" s="14"/>
      <c r="AAY1153" s="14"/>
      <c r="AAZ1153" s="14"/>
      <c r="ABA1153" s="14"/>
      <c r="ABB1153" s="14"/>
      <c r="ABC1153" s="14"/>
      <c r="ABD1153" s="14"/>
      <c r="ABE1153" s="14"/>
      <c r="ABF1153" s="14"/>
      <c r="ABG1153" s="14"/>
      <c r="ABH1153" s="14"/>
      <c r="ABI1153" s="14"/>
      <c r="ABJ1153" s="14"/>
      <c r="ABK1153" s="14"/>
      <c r="ABL1153" s="14"/>
      <c r="ABM1153" s="14"/>
      <c r="ABN1153" s="14"/>
      <c r="ABO1153" s="14"/>
      <c r="ABP1153" s="14"/>
      <c r="ABQ1153" s="14"/>
      <c r="ABR1153" s="14"/>
      <c r="ABS1153" s="14"/>
      <c r="ABT1153" s="14"/>
      <c r="ABU1153" s="14"/>
      <c r="ABV1153" s="14"/>
      <c r="ABW1153" s="14"/>
      <c r="ABX1153" s="14"/>
      <c r="ABY1153" s="14"/>
      <c r="ABZ1153" s="14"/>
      <c r="ACA1153" s="14"/>
      <c r="ACB1153" s="14"/>
      <c r="ACC1153" s="14"/>
      <c r="ACD1153" s="14"/>
      <c r="ACE1153" s="14"/>
      <c r="ACF1153" s="14"/>
      <c r="ACG1153" s="14"/>
      <c r="ACH1153" s="14"/>
      <c r="ACI1153" s="14"/>
      <c r="ACJ1153" s="14"/>
      <c r="ACK1153" s="14"/>
      <c r="ACL1153" s="14"/>
      <c r="ACM1153" s="14"/>
      <c r="ACN1153" s="14"/>
      <c r="ACO1153" s="14"/>
      <c r="ACP1153" s="14"/>
      <c r="ACQ1153" s="14"/>
      <c r="ACR1153" s="14"/>
      <c r="ACS1153" s="14"/>
      <c r="ACT1153" s="14"/>
      <c r="ACU1153" s="14"/>
      <c r="ACV1153" s="14"/>
      <c r="ACW1153" s="14"/>
      <c r="ACX1153" s="14"/>
      <c r="ACY1153" s="14"/>
      <c r="ACZ1153" s="14"/>
      <c r="ADA1153" s="14"/>
      <c r="ADB1153" s="14"/>
      <c r="ADC1153" s="14"/>
      <c r="ADD1153" s="14"/>
      <c r="ADE1153" s="14"/>
      <c r="ADF1153" s="14"/>
      <c r="ADG1153" s="14"/>
      <c r="ADH1153" s="14"/>
      <c r="ADI1153" s="14"/>
      <c r="ADJ1153" s="14"/>
      <c r="ADK1153" s="14"/>
      <c r="ADL1153" s="14"/>
      <c r="ADM1153" s="14"/>
      <c r="ADN1153" s="14"/>
      <c r="ADO1153" s="14"/>
      <c r="ADP1153" s="14"/>
      <c r="ADQ1153" s="14"/>
      <c r="ADR1153" s="14"/>
      <c r="ADS1153" s="14"/>
      <c r="ADT1153" s="14"/>
      <c r="ADU1153" s="14"/>
      <c r="ADV1153" s="14"/>
      <c r="ADW1153" s="14"/>
      <c r="ADX1153" s="14"/>
      <c r="ADY1153" s="14"/>
      <c r="ADZ1153" s="14"/>
      <c r="AEA1153" s="14"/>
      <c r="AEB1153" s="14"/>
      <c r="AEC1153" s="14"/>
      <c r="AED1153" s="14"/>
      <c r="AEE1153" s="14"/>
      <c r="AEF1153" s="14"/>
      <c r="AEG1153" s="14"/>
      <c r="AEH1153" s="14"/>
      <c r="AEI1153" s="14"/>
      <c r="AEJ1153" s="14"/>
      <c r="AEK1153" s="14"/>
      <c r="AEL1153" s="14"/>
      <c r="AEM1153" s="14"/>
      <c r="AEN1153" s="14"/>
      <c r="AEO1153" s="14"/>
      <c r="AEP1153" s="14"/>
      <c r="AEQ1153" s="14"/>
      <c r="AER1153" s="14"/>
      <c r="AES1153" s="14"/>
      <c r="AET1153" s="14"/>
      <c r="AEU1153" s="14"/>
      <c r="AEV1153" s="14"/>
      <c r="AEW1153" s="14"/>
      <c r="AEX1153" s="14"/>
      <c r="AEY1153" s="14"/>
      <c r="AEZ1153" s="14"/>
      <c r="AFA1153" s="14"/>
      <c r="AFB1153" s="14"/>
      <c r="AFC1153" s="14"/>
      <c r="AFD1153" s="14"/>
      <c r="AFE1153" s="14"/>
      <c r="AFF1153" s="14"/>
      <c r="AFG1153" s="14"/>
      <c r="AFH1153" s="14"/>
      <c r="AFI1153" s="14"/>
      <c r="AFJ1153" s="14"/>
      <c r="AFK1153" s="14"/>
      <c r="AFL1153" s="14"/>
      <c r="AFM1153" s="14"/>
      <c r="AFN1153" s="14"/>
      <c r="AFO1153" s="14"/>
      <c r="AFP1153" s="14"/>
      <c r="AFQ1153" s="14"/>
      <c r="AFR1153" s="14"/>
      <c r="AFS1153" s="14"/>
      <c r="AFT1153" s="14"/>
      <c r="AFU1153" s="14"/>
      <c r="AFV1153" s="14"/>
      <c r="AFW1153" s="14"/>
      <c r="AFX1153" s="14"/>
      <c r="AFY1153" s="14"/>
      <c r="AFZ1153" s="14"/>
      <c r="AGA1153" s="14"/>
      <c r="AGB1153" s="14"/>
      <c r="AGC1153" s="14"/>
      <c r="AGD1153" s="14"/>
      <c r="AGE1153" s="14"/>
      <c r="AGF1153" s="14"/>
      <c r="AGG1153" s="14"/>
      <c r="AGH1153" s="14"/>
      <c r="AGI1153" s="14"/>
      <c r="AGJ1153" s="14"/>
      <c r="AGK1153" s="14"/>
      <c r="AGL1153" s="14"/>
      <c r="AGM1153" s="14"/>
      <c r="AGN1153" s="14"/>
      <c r="AGO1153" s="14"/>
      <c r="AGP1153" s="14"/>
      <c r="AGQ1153" s="14"/>
      <c r="AGR1153" s="14"/>
      <c r="AGS1153" s="14"/>
      <c r="AGT1153" s="14"/>
      <c r="AGU1153" s="14"/>
      <c r="AGV1153" s="14"/>
      <c r="AGW1153" s="14"/>
      <c r="AGX1153" s="14"/>
      <c r="AGY1153" s="14"/>
      <c r="AGZ1153" s="14"/>
      <c r="AHA1153" s="14"/>
      <c r="AHB1153" s="14"/>
      <c r="AHC1153" s="14"/>
      <c r="AHD1153" s="14"/>
      <c r="AHE1153" s="14"/>
      <c r="AHF1153" s="14"/>
      <c r="AHG1153" s="14"/>
      <c r="AHH1153" s="14"/>
      <c r="AHI1153" s="14"/>
      <c r="AHJ1153" s="14"/>
      <c r="AHK1153" s="14"/>
      <c r="AHL1153" s="14"/>
      <c r="AHM1153" s="14"/>
      <c r="AHN1153" s="14"/>
      <c r="AHO1153" s="14"/>
      <c r="AHP1153" s="14"/>
      <c r="AHQ1153" s="14"/>
      <c r="AHR1153" s="14"/>
      <c r="AHS1153" s="14"/>
      <c r="AHT1153" s="14"/>
      <c r="AHU1153" s="14"/>
      <c r="AHV1153" s="14"/>
      <c r="AHW1153" s="14"/>
      <c r="AHX1153" s="14"/>
      <c r="AHY1153" s="14"/>
      <c r="AHZ1153" s="14"/>
      <c r="AIA1153" s="14"/>
      <c r="AIB1153" s="14"/>
      <c r="AIC1153" s="14"/>
      <c r="AID1153" s="14"/>
      <c r="AIE1153" s="14"/>
      <c r="AIF1153" s="14"/>
      <c r="AIG1153" s="14"/>
      <c r="AIH1153" s="14"/>
      <c r="AII1153" s="14"/>
      <c r="AIJ1153" s="14"/>
      <c r="AIK1153" s="14"/>
      <c r="AIL1153" s="14"/>
      <c r="AIM1153" s="14"/>
      <c r="AIN1153" s="14"/>
      <c r="AIO1153" s="14"/>
      <c r="AIP1153" s="14"/>
      <c r="AIQ1153" s="14"/>
      <c r="AIR1153" s="14"/>
      <c r="AIS1153" s="14"/>
      <c r="AIT1153" s="14"/>
      <c r="AIU1153" s="14"/>
      <c r="AIV1153" s="14"/>
      <c r="AIW1153" s="14"/>
      <c r="AIX1153" s="14"/>
      <c r="AIY1153" s="14"/>
      <c r="AIZ1153" s="14"/>
      <c r="AJA1153" s="14"/>
      <c r="AJB1153" s="14"/>
      <c r="AJC1153" s="14"/>
      <c r="AJD1153" s="14"/>
      <c r="AJE1153" s="14"/>
      <c r="AJF1153" s="14"/>
      <c r="AJG1153" s="14"/>
      <c r="AJH1153" s="14"/>
      <c r="AJI1153" s="14"/>
      <c r="AJJ1153" s="14"/>
      <c r="AJK1153" s="14"/>
      <c r="AJL1153" s="14"/>
      <c r="AJM1153" s="14"/>
      <c r="AJN1153" s="14"/>
      <c r="AJO1153" s="14"/>
      <c r="AJP1153" s="14"/>
      <c r="AJQ1153" s="14"/>
      <c r="AJR1153" s="14"/>
      <c r="AJS1153" s="14"/>
      <c r="AJT1153" s="14"/>
      <c r="AJU1153" s="14"/>
      <c r="AJV1153" s="14"/>
      <c r="AJW1153" s="14"/>
      <c r="AJX1153" s="14"/>
      <c r="AJY1153" s="14"/>
      <c r="AJZ1153" s="14"/>
      <c r="AKA1153" s="14"/>
      <c r="AKB1153" s="14"/>
      <c r="AKC1153" s="14"/>
      <c r="AKD1153" s="14"/>
      <c r="AKE1153" s="14"/>
      <c r="AKF1153" s="14"/>
      <c r="AKG1153" s="14"/>
      <c r="AKH1153" s="14"/>
      <c r="AKI1153" s="14"/>
      <c r="AKJ1153" s="14"/>
      <c r="AKK1153" s="14"/>
      <c r="AKL1153" s="14"/>
      <c r="AKM1153" s="14"/>
      <c r="AKN1153" s="14"/>
      <c r="AKO1153" s="14"/>
      <c r="AKP1153" s="14"/>
      <c r="AKQ1153" s="14"/>
      <c r="AKR1153" s="14"/>
      <c r="AKS1153" s="14"/>
      <c r="AKT1153" s="14"/>
      <c r="AKU1153" s="14"/>
      <c r="AKV1153" s="14"/>
      <c r="AKW1153" s="14"/>
      <c r="AKX1153" s="14"/>
      <c r="AKY1153" s="14"/>
      <c r="AKZ1153" s="14"/>
      <c r="ALA1153" s="14"/>
      <c r="ALB1153" s="14"/>
      <c r="ALC1153" s="14"/>
      <c r="ALD1153" s="14"/>
      <c r="ALE1153" s="14"/>
      <c r="ALF1153" s="14"/>
      <c r="ALG1153" s="14"/>
      <c r="ALH1153" s="14"/>
      <c r="ALI1153" s="14"/>
      <c r="ALJ1153" s="14"/>
      <c r="ALK1153" s="14"/>
      <c r="ALL1153" s="14"/>
      <c r="ALM1153" s="14"/>
      <c r="ALN1153" s="14"/>
      <c r="ALO1153" s="14"/>
      <c r="ALP1153" s="14"/>
      <c r="ALQ1153" s="14"/>
      <c r="ALR1153" s="14"/>
      <c r="ALS1153" s="14"/>
      <c r="ALT1153" s="14"/>
      <c r="ALU1153" s="14"/>
      <c r="ALV1153" s="14"/>
      <c r="ALW1153" s="14"/>
      <c r="ALX1153" s="14"/>
      <c r="ALY1153" s="14"/>
      <c r="ALZ1153" s="14"/>
      <c r="AMA1153" s="14"/>
      <c r="AMB1153" s="14"/>
      <c r="AMC1153" s="14"/>
      <c r="AMD1153" s="14"/>
      <c r="AME1153" s="14"/>
      <c r="AMF1153" s="14"/>
      <c r="AMG1153" s="14"/>
      <c r="AMH1153" s="14"/>
      <c r="AMI1153" s="14"/>
      <c r="AMJ1153" s="14"/>
      <c r="AMK1153" s="14"/>
      <c r="AML1153" s="14"/>
      <c r="AMM1153" s="14"/>
      <c r="AMN1153" s="14"/>
      <c r="AMO1153" s="14"/>
      <c r="AMP1153" s="14"/>
      <c r="AMQ1153" s="14"/>
      <c r="AMR1153" s="14"/>
      <c r="AMS1153" s="14"/>
      <c r="AMT1153" s="14"/>
      <c r="AMU1153" s="14"/>
      <c r="AMV1153" s="14"/>
      <c r="AMW1153" s="14"/>
      <c r="AMX1153" s="14"/>
      <c r="AMY1153" s="14"/>
      <c r="AMZ1153" s="14"/>
      <c r="ANA1153" s="14"/>
      <c r="ANB1153" s="14"/>
      <c r="ANC1153" s="14"/>
      <c r="AND1153" s="14"/>
      <c r="ANE1153" s="14"/>
      <c r="ANF1153" s="14"/>
      <c r="ANG1153" s="14"/>
      <c r="ANH1153" s="14"/>
      <c r="ANI1153" s="14"/>
      <c r="ANJ1153" s="14"/>
      <c r="ANK1153" s="14"/>
      <c r="ANL1153" s="14"/>
      <c r="ANM1153" s="14"/>
      <c r="ANN1153" s="14"/>
      <c r="ANO1153" s="14"/>
      <c r="ANP1153" s="14"/>
      <c r="ANQ1153" s="14"/>
      <c r="ANR1153" s="14"/>
      <c r="ANS1153" s="14"/>
      <c r="ANT1153" s="14"/>
      <c r="ANU1153" s="14"/>
      <c r="ANV1153" s="14"/>
      <c r="ANW1153" s="14"/>
      <c r="ANX1153" s="14"/>
      <c r="ANY1153" s="14"/>
      <c r="ANZ1153" s="14"/>
      <c r="AOA1153" s="14"/>
      <c r="AOB1153" s="14"/>
      <c r="AOC1153" s="14"/>
      <c r="AOD1153" s="14"/>
      <c r="AOE1153" s="14"/>
      <c r="AOF1153" s="14"/>
      <c r="AOG1153" s="14"/>
      <c r="AOH1153" s="14"/>
      <c r="AOI1153" s="14"/>
      <c r="AOJ1153" s="14"/>
      <c r="AOK1153" s="14"/>
      <c r="AOL1153" s="14"/>
      <c r="AOM1153" s="14"/>
      <c r="AON1153" s="14"/>
      <c r="AOO1153" s="14"/>
      <c r="AOP1153" s="14"/>
      <c r="AOQ1153" s="14"/>
      <c r="AOR1153" s="14"/>
      <c r="AOS1153" s="14"/>
      <c r="AOT1153" s="14"/>
      <c r="AOU1153" s="14"/>
      <c r="AOV1153" s="14"/>
      <c r="AOW1153" s="14"/>
      <c r="AOX1153" s="14"/>
      <c r="AOY1153" s="14"/>
      <c r="AOZ1153" s="14"/>
      <c r="APA1153" s="14"/>
      <c r="APB1153" s="14"/>
      <c r="APC1153" s="14"/>
      <c r="APD1153" s="14"/>
      <c r="APE1153" s="14"/>
      <c r="APF1153" s="14"/>
      <c r="APG1153" s="14"/>
      <c r="APH1153" s="14"/>
      <c r="API1153" s="14"/>
      <c r="APJ1153" s="14"/>
      <c r="APK1153" s="14"/>
      <c r="APL1153" s="14"/>
      <c r="APM1153" s="14"/>
      <c r="APN1153" s="14"/>
      <c r="APO1153" s="14"/>
      <c r="APP1153" s="14"/>
      <c r="APQ1153" s="14"/>
      <c r="APR1153" s="14"/>
      <c r="APS1153" s="14"/>
      <c r="APT1153" s="14"/>
      <c r="APU1153" s="14"/>
      <c r="APV1153" s="14"/>
      <c r="APW1153" s="14"/>
      <c r="APX1153" s="14"/>
      <c r="APY1153" s="14"/>
      <c r="APZ1153" s="14"/>
      <c r="AQA1153" s="14"/>
      <c r="AQB1153" s="14"/>
      <c r="AQC1153" s="14"/>
      <c r="AQD1153" s="14"/>
      <c r="AQE1153" s="14"/>
      <c r="AQF1153" s="14"/>
      <c r="AQG1153" s="14"/>
      <c r="AQH1153" s="14"/>
      <c r="AQI1153" s="14"/>
      <c r="AQJ1153" s="14"/>
      <c r="AQK1153" s="14"/>
      <c r="AQL1153" s="14"/>
      <c r="AQM1153" s="14"/>
      <c r="AQN1153" s="14"/>
      <c r="AQO1153" s="14"/>
      <c r="AQP1153" s="14"/>
      <c r="AQQ1153" s="14"/>
      <c r="AQR1153" s="14"/>
      <c r="AQS1153" s="14"/>
      <c r="AQT1153" s="14"/>
      <c r="AQU1153" s="14"/>
      <c r="AQV1153" s="14"/>
      <c r="AQW1153" s="14"/>
      <c r="AQX1153" s="14"/>
      <c r="AQY1153" s="14"/>
      <c r="AQZ1153" s="14"/>
      <c r="ARA1153" s="14"/>
      <c r="ARB1153" s="14"/>
      <c r="ARC1153" s="14"/>
      <c r="ARD1153" s="14"/>
      <c r="ARE1153" s="14"/>
      <c r="ARF1153" s="14"/>
      <c r="ARG1153" s="14"/>
      <c r="ARH1153" s="14"/>
      <c r="ARI1153" s="14"/>
      <c r="ARJ1153" s="14"/>
      <c r="ARK1153" s="14"/>
      <c r="ARL1153" s="14"/>
      <c r="ARM1153" s="14"/>
      <c r="ARN1153" s="14"/>
      <c r="ARO1153" s="14"/>
      <c r="ARP1153" s="14"/>
      <c r="ARQ1153" s="14"/>
      <c r="ARR1153" s="14"/>
      <c r="ARS1153" s="14"/>
      <c r="ART1153" s="14"/>
      <c r="ARU1153" s="14"/>
      <c r="ARV1153" s="14"/>
      <c r="ARW1153" s="14"/>
      <c r="ARX1153" s="14"/>
      <c r="ARY1153" s="14"/>
      <c r="ARZ1153" s="14"/>
      <c r="ASA1153" s="14"/>
      <c r="ASB1153" s="14"/>
      <c r="ASC1153" s="14"/>
      <c r="ASD1153" s="14"/>
      <c r="ASE1153" s="14"/>
      <c r="ASF1153" s="14"/>
      <c r="ASG1153" s="14"/>
      <c r="ASH1153" s="14"/>
      <c r="ASI1153" s="14"/>
      <c r="ASJ1153" s="14"/>
      <c r="ASK1153" s="14"/>
      <c r="ASL1153" s="14"/>
      <c r="ASM1153" s="14"/>
      <c r="ASN1153" s="14"/>
      <c r="ASO1153" s="14"/>
      <c r="ASP1153" s="14"/>
      <c r="ASQ1153" s="14"/>
      <c r="ASR1153" s="14"/>
      <c r="ASS1153" s="14"/>
      <c r="AST1153" s="14"/>
      <c r="ASU1153" s="14"/>
      <c r="ASV1153" s="14"/>
      <c r="ASW1153" s="14"/>
      <c r="ASX1153" s="14"/>
      <c r="ASY1153" s="14"/>
      <c r="ASZ1153" s="14"/>
      <c r="ATA1153" s="14"/>
      <c r="ATB1153" s="14"/>
      <c r="ATC1153" s="14"/>
      <c r="ATD1153" s="14"/>
      <c r="ATE1153" s="14"/>
      <c r="ATF1153" s="14"/>
      <c r="ATG1153" s="14"/>
      <c r="ATH1153" s="14"/>
      <c r="ATI1153" s="14"/>
      <c r="ATJ1153" s="14"/>
      <c r="ATK1153" s="14"/>
      <c r="ATL1153" s="14"/>
      <c r="ATM1153" s="14"/>
      <c r="ATN1153" s="14"/>
      <c r="ATO1153" s="14"/>
      <c r="ATP1153" s="14"/>
      <c r="ATQ1153" s="14"/>
      <c r="ATR1153" s="14"/>
      <c r="ATS1153" s="14"/>
      <c r="ATT1153" s="14"/>
      <c r="ATU1153" s="14"/>
      <c r="ATV1153" s="14"/>
      <c r="ATW1153" s="14"/>
      <c r="ATX1153" s="14"/>
      <c r="ATY1153" s="14"/>
      <c r="ATZ1153" s="14"/>
      <c r="AUA1153" s="14"/>
      <c r="AUB1153" s="14"/>
      <c r="AUC1153" s="14"/>
      <c r="AUD1153" s="14"/>
      <c r="AUE1153" s="14"/>
      <c r="AUF1153" s="14"/>
      <c r="AUG1153" s="14"/>
      <c r="AUH1153" s="14"/>
      <c r="AUI1153" s="14"/>
      <c r="AUJ1153" s="14"/>
      <c r="AUK1153" s="14"/>
      <c r="AUL1153" s="14"/>
      <c r="AUM1153" s="14"/>
      <c r="AUN1153" s="14"/>
      <c r="AUO1153" s="14"/>
      <c r="AUP1153" s="14"/>
      <c r="AUQ1153" s="14"/>
      <c r="AUR1153" s="14"/>
      <c r="AUS1153" s="14"/>
      <c r="AUT1153" s="14"/>
      <c r="AUU1153" s="14"/>
      <c r="AUV1153" s="14"/>
      <c r="AUW1153" s="14"/>
      <c r="AUX1153" s="14"/>
      <c r="AUY1153" s="14"/>
      <c r="AUZ1153" s="14"/>
      <c r="AVA1153" s="14"/>
      <c r="AVB1153" s="14"/>
      <c r="AVC1153" s="14"/>
      <c r="AVD1153" s="14"/>
      <c r="AVE1153" s="14"/>
      <c r="AVF1153" s="14"/>
      <c r="AVG1153" s="14"/>
      <c r="AVH1153" s="14"/>
      <c r="AVI1153" s="14"/>
      <c r="AVJ1153" s="14"/>
      <c r="AVK1153" s="14"/>
      <c r="AVL1153" s="14"/>
      <c r="AVM1153" s="14"/>
      <c r="AVN1153" s="14"/>
      <c r="AVO1153" s="14"/>
      <c r="AVP1153" s="14"/>
      <c r="AVQ1153" s="14"/>
      <c r="AVR1153" s="14"/>
      <c r="AVS1153" s="14"/>
      <c r="AVT1153" s="14"/>
      <c r="AVU1153" s="14"/>
      <c r="AVV1153" s="14"/>
      <c r="AVW1153" s="14"/>
      <c r="AVX1153" s="14"/>
      <c r="AVY1153" s="14"/>
      <c r="AVZ1153" s="14"/>
      <c r="AWA1153" s="14"/>
      <c r="AWB1153" s="14"/>
      <c r="AWC1153" s="14"/>
      <c r="AWD1153" s="14"/>
      <c r="AWE1153" s="14"/>
      <c r="AWF1153" s="14"/>
      <c r="AWG1153" s="14"/>
      <c r="AWH1153" s="14"/>
      <c r="AWI1153" s="14"/>
      <c r="AWJ1153" s="14"/>
      <c r="AWK1153" s="14"/>
      <c r="AWL1153" s="14"/>
      <c r="AWM1153" s="14"/>
      <c r="AWN1153" s="14"/>
      <c r="AWO1153" s="14"/>
      <c r="AWP1153" s="14"/>
      <c r="AWQ1153" s="14"/>
      <c r="AWR1153" s="14"/>
      <c r="AWS1153" s="14"/>
      <c r="AWT1153" s="14"/>
      <c r="AWU1153" s="14"/>
      <c r="AWV1153" s="14"/>
      <c r="AWW1153" s="14"/>
      <c r="AWX1153" s="14"/>
      <c r="AWY1153" s="14"/>
      <c r="AWZ1153" s="14"/>
      <c r="AXA1153" s="14"/>
      <c r="AXB1153" s="14"/>
      <c r="AXC1153" s="14"/>
      <c r="AXD1153" s="14"/>
      <c r="AXE1153" s="14"/>
      <c r="AXF1153" s="14"/>
      <c r="AXG1153" s="14"/>
      <c r="AXH1153" s="14"/>
      <c r="AXI1153" s="14"/>
      <c r="AXJ1153" s="14"/>
      <c r="AXK1153" s="14"/>
      <c r="AXL1153" s="14"/>
      <c r="AXM1153" s="14"/>
      <c r="AXN1153" s="14"/>
      <c r="AXO1153" s="14"/>
      <c r="AXP1153" s="14"/>
      <c r="AXQ1153" s="14"/>
      <c r="AXR1153" s="14"/>
      <c r="AXS1153" s="14"/>
      <c r="AXT1153" s="14"/>
      <c r="AXU1153" s="14"/>
      <c r="AXV1153" s="14"/>
      <c r="AXW1153" s="14"/>
      <c r="AXX1153" s="14"/>
      <c r="AXY1153" s="14"/>
      <c r="AXZ1153" s="14"/>
      <c r="AYA1153" s="14"/>
      <c r="AYB1153" s="14"/>
      <c r="AYC1153" s="14"/>
      <c r="AYD1153" s="14"/>
      <c r="AYE1153" s="14"/>
      <c r="AYF1153" s="14"/>
      <c r="AYG1153" s="14"/>
      <c r="AYH1153" s="14"/>
      <c r="AYI1153" s="14"/>
      <c r="AYJ1153" s="14"/>
      <c r="AYK1153" s="14"/>
      <c r="AYL1153" s="14"/>
      <c r="AYM1153" s="14"/>
      <c r="AYN1153" s="14"/>
      <c r="AYO1153" s="14"/>
      <c r="AYP1153" s="14"/>
      <c r="AYQ1153" s="14"/>
      <c r="AYR1153" s="14"/>
      <c r="AYS1153" s="14"/>
      <c r="AYT1153" s="14"/>
      <c r="AYU1153" s="14"/>
      <c r="AYV1153" s="14"/>
      <c r="AYW1153" s="14"/>
      <c r="AYX1153" s="14"/>
      <c r="AYY1153" s="14"/>
      <c r="AYZ1153" s="14"/>
      <c r="AZA1153" s="14"/>
      <c r="AZB1153" s="14"/>
      <c r="AZC1153" s="14"/>
      <c r="AZD1153" s="14"/>
      <c r="AZE1153" s="14"/>
      <c r="AZF1153" s="14"/>
      <c r="AZG1153" s="14"/>
      <c r="AZH1153" s="14"/>
      <c r="AZI1153" s="14"/>
      <c r="AZJ1153" s="14"/>
      <c r="AZK1153" s="14"/>
      <c r="AZL1153" s="14"/>
      <c r="AZM1153" s="14"/>
      <c r="AZN1153" s="14"/>
      <c r="AZO1153" s="14"/>
      <c r="AZP1153" s="14"/>
      <c r="AZQ1153" s="14"/>
      <c r="AZR1153" s="14"/>
      <c r="AZS1153" s="14"/>
      <c r="AZT1153" s="14"/>
      <c r="AZU1153" s="14"/>
      <c r="AZV1153" s="14"/>
      <c r="AZW1153" s="14"/>
      <c r="AZX1153" s="14"/>
      <c r="AZY1153" s="14"/>
      <c r="AZZ1153" s="14"/>
      <c r="BAA1153" s="14"/>
      <c r="BAB1153" s="14"/>
      <c r="BAC1153" s="14"/>
      <c r="BAD1153" s="14"/>
      <c r="BAE1153" s="14"/>
      <c r="BAF1153" s="14"/>
      <c r="BAG1153" s="14"/>
      <c r="BAH1153" s="14"/>
      <c r="BAI1153" s="14"/>
      <c r="BAJ1153" s="14"/>
      <c r="BAK1153" s="14"/>
      <c r="BAL1153" s="14"/>
      <c r="BAM1153" s="14"/>
      <c r="BAN1153" s="14"/>
      <c r="BAO1153" s="14"/>
      <c r="BAP1153" s="14"/>
      <c r="BAQ1153" s="14"/>
      <c r="BAR1153" s="14"/>
      <c r="BAS1153" s="14"/>
      <c r="BAT1153" s="14"/>
      <c r="BAU1153" s="14"/>
      <c r="BAV1153" s="14"/>
      <c r="BAW1153" s="14"/>
      <c r="BAX1153" s="14"/>
      <c r="BAY1153" s="14"/>
      <c r="BAZ1153" s="14"/>
      <c r="BBA1153" s="14"/>
      <c r="BBB1153" s="14"/>
      <c r="BBC1153" s="14"/>
      <c r="BBD1153" s="14"/>
      <c r="BBE1153" s="14"/>
      <c r="BBF1153" s="14"/>
      <c r="BBG1153" s="14"/>
      <c r="BBH1153" s="14"/>
      <c r="BBI1153" s="14"/>
      <c r="BBJ1153" s="14"/>
      <c r="BBK1153" s="14"/>
      <c r="BBL1153" s="14"/>
      <c r="BBM1153" s="14"/>
      <c r="BBN1153" s="14"/>
      <c r="BBO1153" s="14"/>
      <c r="BBP1153" s="14"/>
      <c r="BBQ1153" s="14"/>
      <c r="BBR1153" s="14"/>
      <c r="BBS1153" s="14"/>
      <c r="BBT1153" s="14"/>
      <c r="BBU1153" s="14"/>
      <c r="BBV1153" s="14"/>
      <c r="BBW1153" s="14"/>
      <c r="BBX1153" s="14"/>
      <c r="BBY1153" s="14"/>
      <c r="BBZ1153" s="14"/>
      <c r="BCA1153" s="14"/>
      <c r="BCB1153" s="14"/>
      <c r="BCC1153" s="14"/>
      <c r="BCD1153" s="14"/>
      <c r="BCE1153" s="14"/>
      <c r="BCF1153" s="14"/>
      <c r="BCG1153" s="14"/>
      <c r="BCH1153" s="14"/>
      <c r="BCI1153" s="14"/>
      <c r="BCJ1153" s="14"/>
      <c r="BCK1153" s="14"/>
      <c r="BCL1153" s="14"/>
      <c r="BCM1153" s="14"/>
      <c r="BCN1153" s="14"/>
      <c r="BCO1153" s="14"/>
      <c r="BCP1153" s="14"/>
      <c r="BCQ1153" s="14"/>
      <c r="BCR1153" s="14"/>
      <c r="BCS1153" s="14"/>
      <c r="BCT1153" s="14"/>
      <c r="BCU1153" s="14"/>
      <c r="BCV1153" s="14"/>
      <c r="BCW1153" s="14"/>
      <c r="BCX1153" s="14"/>
      <c r="BCY1153" s="14"/>
      <c r="BCZ1153" s="14"/>
      <c r="BDA1153" s="14"/>
      <c r="BDB1153" s="14"/>
      <c r="BDC1153" s="14"/>
      <c r="BDD1153" s="14"/>
      <c r="BDE1153" s="14"/>
      <c r="BDF1153" s="14"/>
      <c r="BDG1153" s="14"/>
      <c r="BDH1153" s="14"/>
      <c r="BDI1153" s="14"/>
      <c r="BDJ1153" s="14"/>
      <c r="BDK1153" s="14"/>
      <c r="BDL1153" s="14"/>
      <c r="BDM1153" s="14"/>
      <c r="BDN1153" s="14"/>
      <c r="BDO1153" s="14"/>
      <c r="BDP1153" s="14"/>
      <c r="BDQ1153" s="14"/>
      <c r="BDR1153" s="14"/>
      <c r="BDS1153" s="14"/>
      <c r="BDT1153" s="14"/>
      <c r="BDU1153" s="14"/>
      <c r="BDV1153" s="14"/>
      <c r="BDW1153" s="14"/>
      <c r="BDX1153" s="14"/>
      <c r="BDY1153" s="14"/>
      <c r="BDZ1153" s="14"/>
      <c r="BEA1153" s="14"/>
      <c r="BEB1153" s="14"/>
      <c r="BEC1153" s="14"/>
      <c r="BED1153" s="14"/>
      <c r="BEE1153" s="14"/>
      <c r="BEF1153" s="14"/>
      <c r="BEG1153" s="14"/>
      <c r="BEH1153" s="14"/>
      <c r="BEI1153" s="14"/>
      <c r="BEJ1153" s="14"/>
      <c r="BEK1153" s="14"/>
      <c r="BEL1153" s="14"/>
      <c r="BEM1153" s="14"/>
      <c r="BEN1153" s="14"/>
      <c r="BEO1153" s="14"/>
      <c r="BEP1153" s="14"/>
      <c r="BEQ1153" s="14"/>
      <c r="BER1153" s="14"/>
      <c r="BES1153" s="14"/>
      <c r="BET1153" s="14"/>
      <c r="BEU1153" s="14"/>
      <c r="BEV1153" s="14"/>
      <c r="BEW1153" s="14"/>
      <c r="BEX1153" s="14"/>
      <c r="BEY1153" s="14"/>
      <c r="BEZ1153" s="14"/>
      <c r="BFA1153" s="14"/>
      <c r="BFB1153" s="14"/>
      <c r="BFC1153" s="14"/>
      <c r="BFD1153" s="14"/>
      <c r="BFE1153" s="14"/>
      <c r="BFF1153" s="14"/>
      <c r="BFG1153" s="14"/>
      <c r="BFH1153" s="14"/>
      <c r="BFI1153" s="14"/>
      <c r="BFJ1153" s="14"/>
      <c r="BFK1153" s="14"/>
      <c r="BFL1153" s="14"/>
      <c r="BFM1153" s="14"/>
      <c r="BFN1153" s="14"/>
      <c r="BFO1153" s="14"/>
      <c r="BFP1153" s="14"/>
      <c r="BFQ1153" s="14"/>
      <c r="BFR1153" s="14"/>
      <c r="BFS1153" s="14"/>
      <c r="BFT1153" s="14"/>
      <c r="BFU1153" s="14"/>
      <c r="BFV1153" s="14"/>
      <c r="BFW1153" s="14"/>
      <c r="BFX1153" s="14"/>
      <c r="BFY1153" s="14"/>
      <c r="BFZ1153" s="14"/>
      <c r="BGA1153" s="14"/>
      <c r="BGB1153" s="14"/>
      <c r="BGC1153" s="14"/>
      <c r="BGD1153" s="14"/>
      <c r="BGE1153" s="14"/>
      <c r="BGF1153" s="14"/>
      <c r="BGG1153" s="14"/>
      <c r="BGH1153" s="14"/>
      <c r="BGI1153" s="14"/>
      <c r="BGJ1153" s="14"/>
      <c r="BGK1153" s="14"/>
      <c r="BGL1153" s="14"/>
      <c r="BGM1153" s="14"/>
      <c r="BGN1153" s="14"/>
      <c r="BGO1153" s="14"/>
      <c r="BGP1153" s="14"/>
      <c r="BGQ1153" s="14"/>
      <c r="BGR1153" s="14"/>
      <c r="BGS1153" s="14"/>
      <c r="BGT1153" s="14"/>
      <c r="BGU1153" s="14"/>
      <c r="BGV1153" s="14"/>
      <c r="BGW1153" s="14"/>
      <c r="BGX1153" s="14"/>
      <c r="BGY1153" s="14"/>
      <c r="BGZ1153" s="14"/>
      <c r="BHA1153" s="14"/>
      <c r="BHB1153" s="14"/>
      <c r="BHC1153" s="14"/>
      <c r="BHD1153" s="14"/>
      <c r="BHE1153" s="14"/>
      <c r="BHF1153" s="14"/>
      <c r="BHG1153" s="14"/>
      <c r="BHH1153" s="14"/>
      <c r="BHI1153" s="14"/>
      <c r="BHJ1153" s="14"/>
      <c r="BHK1153" s="14"/>
      <c r="BHL1153" s="14"/>
      <c r="BHM1153" s="14"/>
      <c r="BHN1153" s="14"/>
      <c r="BHO1153" s="14"/>
      <c r="BHP1153" s="14"/>
      <c r="BHQ1153" s="14"/>
      <c r="BHR1153" s="14"/>
      <c r="BHS1153" s="14"/>
      <c r="BHT1153" s="14"/>
      <c r="BHU1153" s="14"/>
      <c r="BHV1153" s="14"/>
      <c r="BHW1153" s="14"/>
      <c r="BHX1153" s="14"/>
      <c r="BHY1153" s="14"/>
      <c r="BHZ1153" s="14"/>
      <c r="BIA1153" s="14"/>
      <c r="BIB1153" s="14"/>
      <c r="BIC1153" s="14"/>
      <c r="BID1153" s="14"/>
      <c r="BIE1153" s="14"/>
      <c r="BIF1153" s="14"/>
      <c r="BIG1153" s="14"/>
      <c r="BIH1153" s="14"/>
      <c r="BII1153" s="14"/>
      <c r="BIJ1153" s="14"/>
      <c r="BIK1153" s="14"/>
      <c r="BIL1153" s="14"/>
      <c r="BIM1153" s="14"/>
      <c r="BIN1153" s="14"/>
      <c r="BIO1153" s="14"/>
      <c r="BIP1153" s="14"/>
      <c r="BIQ1153" s="14"/>
      <c r="BIR1153" s="14"/>
      <c r="BIS1153" s="14"/>
      <c r="BIT1153" s="14"/>
      <c r="BIU1153" s="14"/>
      <c r="BIV1153" s="14"/>
      <c r="BIW1153" s="14"/>
      <c r="BIX1153" s="14"/>
      <c r="BIY1153" s="14"/>
      <c r="BIZ1153" s="14"/>
      <c r="BJA1153" s="14"/>
      <c r="BJB1153" s="14"/>
      <c r="BJC1153" s="14"/>
      <c r="BJD1153" s="14"/>
      <c r="BJE1153" s="14"/>
      <c r="BJF1153" s="14"/>
      <c r="BJG1153" s="14"/>
      <c r="BJH1153" s="14"/>
      <c r="BJI1153" s="14"/>
      <c r="BJJ1153" s="14"/>
      <c r="BJK1153" s="14"/>
      <c r="BJL1153" s="14"/>
      <c r="BJM1153" s="14"/>
      <c r="BJN1153" s="14"/>
      <c r="BJO1153" s="14"/>
      <c r="BJP1153" s="14"/>
      <c r="BJQ1153" s="14"/>
      <c r="BJR1153" s="14"/>
      <c r="BJS1153" s="14"/>
      <c r="BJT1153" s="14"/>
      <c r="BJU1153" s="14"/>
      <c r="BJV1153" s="14"/>
      <c r="BJW1153" s="14"/>
      <c r="BJX1153" s="14"/>
      <c r="BJY1153" s="14"/>
      <c r="BJZ1153" s="14"/>
      <c r="BKA1153" s="14"/>
      <c r="BKB1153" s="14"/>
      <c r="BKC1153" s="14"/>
      <c r="BKD1153" s="14"/>
      <c r="BKE1153" s="14"/>
      <c r="BKF1153" s="14"/>
      <c r="BKG1153" s="14"/>
      <c r="BKH1153" s="14"/>
      <c r="BKI1153" s="14"/>
      <c r="BKJ1153" s="14"/>
      <c r="BKK1153" s="14"/>
      <c r="BKL1153" s="14"/>
      <c r="BKM1153" s="14"/>
      <c r="BKN1153" s="14"/>
      <c r="BKO1153" s="14"/>
      <c r="BKP1153" s="14"/>
      <c r="BKQ1153" s="14"/>
      <c r="BKR1153" s="14"/>
      <c r="BKS1153" s="14"/>
      <c r="BKT1153" s="14"/>
      <c r="BKU1153" s="14"/>
      <c r="BKV1153" s="14"/>
      <c r="BKW1153" s="14"/>
      <c r="BKX1153" s="14"/>
      <c r="BKY1153" s="14"/>
      <c r="BKZ1153" s="14"/>
      <c r="BLA1153" s="14"/>
      <c r="BLB1153" s="14"/>
      <c r="BLC1153" s="14"/>
      <c r="BLD1153" s="14"/>
      <c r="BLE1153" s="14"/>
      <c r="BLF1153" s="14"/>
      <c r="BLG1153" s="14"/>
      <c r="BLH1153" s="14"/>
      <c r="BLI1153" s="14"/>
      <c r="BLJ1153" s="14"/>
      <c r="BLK1153" s="14"/>
      <c r="BLL1153" s="14"/>
      <c r="BLM1153" s="14"/>
      <c r="BLN1153" s="14"/>
      <c r="BLO1153" s="14"/>
      <c r="BLP1153" s="14"/>
      <c r="BLQ1153" s="14"/>
      <c r="BLR1153" s="14"/>
      <c r="BLS1153" s="14"/>
      <c r="BLT1153" s="14"/>
      <c r="BLU1153" s="14"/>
      <c r="BLV1153" s="14"/>
      <c r="BLW1153" s="14"/>
      <c r="BLX1153" s="14"/>
      <c r="BLY1153" s="14"/>
      <c r="BLZ1153" s="14"/>
      <c r="BMA1153" s="14"/>
      <c r="BMB1153" s="14"/>
      <c r="BMC1153" s="14"/>
      <c r="BMD1153" s="14"/>
      <c r="BME1153" s="14"/>
      <c r="BMF1153" s="14"/>
      <c r="BMG1153" s="14"/>
      <c r="BMH1153" s="14"/>
      <c r="BMI1153" s="14"/>
      <c r="BMJ1153" s="14"/>
      <c r="BMK1153" s="14"/>
      <c r="BML1153" s="14"/>
      <c r="BMM1153" s="14"/>
      <c r="BMN1153" s="14"/>
      <c r="BMO1153" s="14"/>
      <c r="BMP1153" s="14"/>
      <c r="BMQ1153" s="14"/>
      <c r="BMR1153" s="14"/>
      <c r="BMS1153" s="14"/>
      <c r="BMT1153" s="14"/>
      <c r="BMU1153" s="14"/>
      <c r="BMV1153" s="14"/>
      <c r="BMW1153" s="14"/>
      <c r="BMX1153" s="14"/>
      <c r="BMY1153" s="14"/>
      <c r="BMZ1153" s="14"/>
      <c r="BNA1153" s="14"/>
      <c r="BNB1153" s="14"/>
      <c r="BNC1153" s="14"/>
      <c r="BND1153" s="14"/>
      <c r="BNE1153" s="14"/>
      <c r="BNF1153" s="14"/>
      <c r="BNG1153" s="14"/>
      <c r="BNH1153" s="14"/>
      <c r="BNI1153" s="14"/>
      <c r="BNJ1153" s="14"/>
      <c r="BNK1153" s="14"/>
      <c r="BNL1153" s="14"/>
      <c r="BNM1153" s="14"/>
      <c r="BNN1153" s="14"/>
      <c r="BNO1153" s="14"/>
      <c r="BNP1153" s="14"/>
      <c r="BNQ1153" s="14"/>
      <c r="BNR1153" s="14"/>
      <c r="BNS1153" s="14"/>
      <c r="BNT1153" s="14"/>
      <c r="BNU1153" s="14"/>
      <c r="BNV1153" s="14"/>
      <c r="BNW1153" s="14"/>
      <c r="BNX1153" s="14"/>
      <c r="BNY1153" s="14"/>
      <c r="BNZ1153" s="14"/>
      <c r="BOA1153" s="14"/>
      <c r="BOB1153" s="14"/>
      <c r="BOC1153" s="14"/>
      <c r="BOD1153" s="14"/>
      <c r="BOE1153" s="14"/>
      <c r="BOF1153" s="14"/>
      <c r="BOG1153" s="14"/>
      <c r="BOH1153" s="14"/>
      <c r="BOI1153" s="14"/>
      <c r="BOJ1153" s="14"/>
      <c r="BOK1153" s="14"/>
      <c r="BOL1153" s="14"/>
      <c r="BOM1153" s="14"/>
      <c r="BON1153" s="14"/>
      <c r="BOO1153" s="14"/>
      <c r="BOP1153" s="14"/>
      <c r="BOQ1153" s="14"/>
      <c r="BOR1153" s="14"/>
      <c r="BOS1153" s="14"/>
      <c r="BOT1153" s="14"/>
      <c r="BOU1153" s="14"/>
      <c r="BOV1153" s="14"/>
      <c r="BOW1153" s="14"/>
      <c r="BOX1153" s="14"/>
      <c r="BOY1153" s="14"/>
      <c r="BOZ1153" s="14"/>
      <c r="BPA1153" s="14"/>
      <c r="BPB1153" s="14"/>
      <c r="BPC1153" s="14"/>
      <c r="BPD1153" s="14"/>
      <c r="BPE1153" s="14"/>
      <c r="BPF1153" s="14"/>
      <c r="BPG1153" s="14"/>
      <c r="BPH1153" s="14"/>
      <c r="BPI1153" s="14"/>
      <c r="BPJ1153" s="14"/>
      <c r="BPK1153" s="14"/>
      <c r="BPL1153" s="14"/>
      <c r="BPM1153" s="14"/>
      <c r="BPN1153" s="14"/>
      <c r="BPO1153" s="14"/>
      <c r="BPP1153" s="14"/>
      <c r="BPQ1153" s="14"/>
      <c r="BPR1153" s="14"/>
      <c r="BPS1153" s="14"/>
      <c r="BPT1153" s="14"/>
      <c r="BPU1153" s="14"/>
      <c r="BPV1153" s="14"/>
      <c r="BPW1153" s="14"/>
      <c r="BPX1153" s="14"/>
      <c r="BPY1153" s="14"/>
      <c r="BPZ1153" s="14"/>
      <c r="BQA1153" s="14"/>
      <c r="BQB1153" s="14"/>
      <c r="BQC1153" s="14"/>
      <c r="BQD1153" s="14"/>
      <c r="BQE1153" s="14"/>
      <c r="BQF1153" s="14"/>
      <c r="BQG1153" s="14"/>
      <c r="BQH1153" s="14"/>
      <c r="BQI1153" s="14"/>
      <c r="BQJ1153" s="14"/>
      <c r="BQK1153" s="14"/>
      <c r="BQL1153" s="14"/>
      <c r="BQM1153" s="14"/>
      <c r="BQN1153" s="14"/>
      <c r="BQO1153" s="14"/>
      <c r="BQP1153" s="14"/>
      <c r="BQQ1153" s="14"/>
      <c r="BQR1153" s="14"/>
      <c r="BQS1153" s="14"/>
      <c r="BQT1153" s="14"/>
      <c r="BQU1153" s="14"/>
      <c r="BQV1153" s="14"/>
      <c r="BQW1153" s="14"/>
      <c r="BQX1153" s="14"/>
      <c r="BQY1153" s="14"/>
      <c r="BQZ1153" s="14"/>
      <c r="BRA1153" s="14"/>
      <c r="BRB1153" s="14"/>
      <c r="BRC1153" s="14"/>
      <c r="BRD1153" s="14"/>
      <c r="BRE1153" s="14"/>
      <c r="BRF1153" s="14"/>
      <c r="BRG1153" s="14"/>
      <c r="BRH1153" s="14"/>
      <c r="BRI1153" s="14"/>
      <c r="BRJ1153" s="14"/>
      <c r="BRK1153" s="14"/>
      <c r="BRL1153" s="14"/>
      <c r="BRM1153" s="14"/>
      <c r="BRN1153" s="14"/>
      <c r="BRO1153" s="14"/>
      <c r="BRP1153" s="14"/>
      <c r="BRQ1153" s="14"/>
      <c r="BRR1153" s="14"/>
      <c r="BRS1153" s="14"/>
      <c r="BRT1153" s="14"/>
      <c r="BRU1153" s="14"/>
      <c r="BRV1153" s="14"/>
      <c r="BRW1153" s="14"/>
      <c r="BRX1153" s="14"/>
      <c r="BRY1153" s="14"/>
      <c r="BRZ1153" s="14"/>
      <c r="BSA1153" s="14"/>
      <c r="BSB1153" s="14"/>
      <c r="BSC1153" s="14"/>
      <c r="BSD1153" s="14"/>
      <c r="BSE1153" s="14"/>
      <c r="BSF1153" s="14"/>
      <c r="BSG1153" s="14"/>
      <c r="BSH1153" s="14"/>
      <c r="BSI1153" s="14"/>
      <c r="BSJ1153" s="14"/>
      <c r="BSK1153" s="14"/>
      <c r="BSL1153" s="14"/>
      <c r="BSM1153" s="14"/>
      <c r="BSN1153" s="14"/>
      <c r="BSO1153" s="14"/>
      <c r="BSP1153" s="14"/>
      <c r="BSQ1153" s="14"/>
      <c r="BSR1153" s="14"/>
      <c r="BSS1153" s="14"/>
      <c r="BST1153" s="14"/>
      <c r="BSU1153" s="14"/>
      <c r="BSV1153" s="14"/>
      <c r="BSW1153" s="14"/>
      <c r="BSX1153" s="14"/>
      <c r="BSY1153" s="14"/>
      <c r="BSZ1153" s="14"/>
      <c r="BTA1153" s="14"/>
      <c r="BTB1153" s="14"/>
      <c r="BTC1153" s="14"/>
      <c r="BTD1153" s="14"/>
      <c r="BTE1153" s="14"/>
      <c r="BTF1153" s="14"/>
      <c r="BTG1153" s="14"/>
      <c r="BTH1153" s="14"/>
      <c r="BTI1153" s="14"/>
      <c r="BTJ1153" s="14"/>
      <c r="BTK1153" s="14"/>
      <c r="BTL1153" s="14"/>
      <c r="BTM1153" s="14"/>
      <c r="BTN1153" s="14"/>
      <c r="BTO1153" s="14"/>
      <c r="BTP1153" s="14"/>
      <c r="BTQ1153" s="14"/>
      <c r="BTR1153" s="14"/>
      <c r="BTS1153" s="14"/>
      <c r="BTT1153" s="14"/>
      <c r="BTU1153" s="14"/>
      <c r="BTV1153" s="14"/>
      <c r="BTW1153" s="14"/>
      <c r="BTX1153" s="14"/>
      <c r="BTY1153" s="14"/>
      <c r="BTZ1153" s="14"/>
      <c r="BUA1153" s="14"/>
      <c r="BUB1153" s="14"/>
      <c r="BUC1153" s="14"/>
      <c r="BUD1153" s="14"/>
      <c r="BUE1153" s="14"/>
      <c r="BUF1153" s="14"/>
      <c r="BUG1153" s="14"/>
      <c r="BUH1153" s="14"/>
      <c r="BUI1153" s="14"/>
      <c r="BUJ1153" s="14"/>
      <c r="BUK1153" s="14"/>
      <c r="BUL1153" s="14"/>
      <c r="BUM1153" s="14"/>
      <c r="BUN1153" s="14"/>
      <c r="BUO1153" s="14"/>
      <c r="BUP1153" s="14"/>
      <c r="BUQ1153" s="14"/>
      <c r="BUR1153" s="14"/>
      <c r="BUS1153" s="14"/>
      <c r="BUT1153" s="14"/>
      <c r="BUU1153" s="14"/>
      <c r="BUV1153" s="14"/>
      <c r="BUW1153" s="14"/>
      <c r="BUX1153" s="14"/>
      <c r="BUY1153" s="14"/>
      <c r="BUZ1153" s="14"/>
      <c r="BVA1153" s="14"/>
      <c r="BVB1153" s="14"/>
      <c r="BVC1153" s="14"/>
      <c r="BVD1153" s="14"/>
      <c r="BVE1153" s="14"/>
      <c r="BVF1153" s="14"/>
      <c r="BVG1153" s="14"/>
      <c r="BVH1153" s="14"/>
      <c r="BVI1153" s="14"/>
      <c r="BVJ1153" s="14"/>
      <c r="BVK1153" s="14"/>
      <c r="BVL1153" s="14"/>
      <c r="BVM1153" s="14"/>
      <c r="BVN1153" s="14"/>
      <c r="BVO1153" s="14"/>
      <c r="BVP1153" s="14"/>
      <c r="BVQ1153" s="14"/>
      <c r="BVR1153" s="14"/>
      <c r="BVS1153" s="14"/>
      <c r="BVT1153" s="14"/>
      <c r="BVU1153" s="14"/>
      <c r="BVV1153" s="14"/>
      <c r="BVW1153" s="14"/>
      <c r="BVX1153" s="14"/>
      <c r="BVY1153" s="14"/>
      <c r="BVZ1153" s="14"/>
      <c r="BWA1153" s="14"/>
      <c r="BWB1153" s="14"/>
      <c r="BWC1153" s="14"/>
      <c r="BWD1153" s="14"/>
      <c r="BWE1153" s="14"/>
      <c r="BWF1153" s="14"/>
      <c r="BWG1153" s="14"/>
      <c r="BWH1153" s="14"/>
      <c r="BWI1153" s="14"/>
      <c r="BWJ1153" s="14"/>
      <c r="BWK1153" s="14"/>
      <c r="BWL1153" s="14"/>
      <c r="BWM1153" s="14"/>
      <c r="BWN1153" s="14"/>
      <c r="BWO1153" s="14"/>
      <c r="BWP1153" s="14"/>
      <c r="BWQ1153" s="14"/>
      <c r="BWR1153" s="14"/>
      <c r="BWS1153" s="14"/>
      <c r="BWT1153" s="14"/>
      <c r="BWU1153" s="14"/>
      <c r="BWV1153" s="14"/>
      <c r="BWW1153" s="14"/>
      <c r="BWX1153" s="14"/>
      <c r="BWY1153" s="14"/>
      <c r="BWZ1153" s="14"/>
      <c r="BXA1153" s="14"/>
      <c r="BXB1153" s="14"/>
      <c r="BXC1153" s="14"/>
      <c r="BXD1153" s="14"/>
      <c r="BXE1153" s="14"/>
      <c r="BXF1153" s="14"/>
      <c r="BXG1153" s="14"/>
      <c r="BXH1153" s="14"/>
      <c r="BXI1153" s="14"/>
      <c r="BXJ1153" s="14"/>
      <c r="BXK1153" s="14"/>
      <c r="BXL1153" s="14"/>
      <c r="BXM1153" s="14"/>
      <c r="BXN1153" s="14"/>
      <c r="BXO1153" s="14"/>
      <c r="BXP1153" s="14"/>
      <c r="BXQ1153" s="14"/>
      <c r="BXR1153" s="14"/>
      <c r="BXS1153" s="14"/>
      <c r="BXT1153" s="14"/>
      <c r="BXU1153" s="14"/>
      <c r="BXV1153" s="14"/>
      <c r="BXW1153" s="14"/>
      <c r="BXX1153" s="14"/>
      <c r="BXY1153" s="14"/>
      <c r="BXZ1153" s="14"/>
      <c r="BYA1153" s="14"/>
      <c r="BYB1153" s="14"/>
      <c r="BYC1153" s="14"/>
      <c r="BYD1153" s="14"/>
      <c r="BYE1153" s="14"/>
      <c r="BYF1153" s="14"/>
      <c r="BYG1153" s="14"/>
      <c r="BYH1153" s="14"/>
      <c r="BYI1153" s="14"/>
      <c r="BYJ1153" s="14"/>
      <c r="BYK1153" s="14"/>
      <c r="BYL1153" s="14"/>
      <c r="BYM1153" s="14"/>
      <c r="BYN1153" s="14"/>
      <c r="BYO1153" s="14"/>
      <c r="BYP1153" s="14"/>
      <c r="BYQ1153" s="14"/>
      <c r="BYR1153" s="14"/>
      <c r="BYS1153" s="14"/>
      <c r="BYT1153" s="14"/>
      <c r="BYU1153" s="14"/>
      <c r="BYV1153" s="14"/>
      <c r="BYW1153" s="14"/>
      <c r="BYX1153" s="14"/>
      <c r="BYY1153" s="14"/>
      <c r="BYZ1153" s="14"/>
      <c r="BZA1153" s="14"/>
      <c r="BZB1153" s="14"/>
      <c r="BZC1153" s="14"/>
      <c r="BZD1153" s="14"/>
      <c r="BZE1153" s="14"/>
      <c r="BZF1153" s="14"/>
      <c r="BZG1153" s="14"/>
      <c r="BZH1153" s="14"/>
      <c r="BZI1153" s="14"/>
      <c r="BZJ1153" s="14"/>
      <c r="BZK1153" s="14"/>
      <c r="BZL1153" s="14"/>
      <c r="BZM1153" s="14"/>
      <c r="BZN1153" s="14"/>
      <c r="BZO1153" s="14"/>
      <c r="BZP1153" s="14"/>
      <c r="BZQ1153" s="14"/>
      <c r="BZR1153" s="14"/>
      <c r="BZS1153" s="14"/>
      <c r="BZT1153" s="14"/>
      <c r="BZU1153" s="14"/>
      <c r="BZV1153" s="14"/>
      <c r="BZW1153" s="14"/>
      <c r="BZX1153" s="14"/>
      <c r="BZY1153" s="14"/>
      <c r="BZZ1153" s="14"/>
      <c r="CAA1153" s="14"/>
      <c r="CAB1153" s="14"/>
      <c r="CAC1153" s="14"/>
      <c r="CAD1153" s="14"/>
      <c r="CAE1153" s="14"/>
      <c r="CAF1153" s="14"/>
      <c r="CAG1153" s="14"/>
      <c r="CAH1153" s="14"/>
      <c r="CAI1153" s="14"/>
      <c r="CAJ1153" s="14"/>
      <c r="CAK1153" s="14"/>
      <c r="CAL1153" s="14"/>
      <c r="CAM1153" s="14"/>
      <c r="CAN1153" s="14"/>
      <c r="CAO1153" s="14"/>
      <c r="CAP1153" s="14"/>
      <c r="CAQ1153" s="14"/>
      <c r="CAR1153" s="14"/>
      <c r="CAS1153" s="14"/>
      <c r="CAT1153" s="14"/>
      <c r="CAU1153" s="14"/>
      <c r="CAV1153" s="14"/>
      <c r="CAW1153" s="14"/>
      <c r="CAX1153" s="14"/>
      <c r="CAY1153" s="14"/>
      <c r="CAZ1153" s="14"/>
      <c r="CBA1153" s="14"/>
      <c r="CBB1153" s="14"/>
      <c r="CBC1153" s="14"/>
      <c r="CBD1153" s="14"/>
      <c r="CBE1153" s="14"/>
      <c r="CBF1153" s="14"/>
      <c r="CBG1153" s="14"/>
      <c r="CBH1153" s="14"/>
      <c r="CBI1153" s="14"/>
      <c r="CBJ1153" s="14"/>
      <c r="CBK1153" s="14"/>
      <c r="CBL1153" s="14"/>
      <c r="CBM1153" s="14"/>
      <c r="CBN1153" s="14"/>
      <c r="CBO1153" s="14"/>
      <c r="CBP1153" s="14"/>
      <c r="CBQ1153" s="14"/>
      <c r="CBR1153" s="14"/>
      <c r="CBS1153" s="14"/>
      <c r="CBT1153" s="14"/>
      <c r="CBU1153" s="14"/>
      <c r="CBV1153" s="14"/>
      <c r="CBW1153" s="14"/>
      <c r="CBX1153" s="14"/>
      <c r="CBY1153" s="14"/>
      <c r="CBZ1153" s="14"/>
      <c r="CCA1153" s="14"/>
      <c r="CCB1153" s="14"/>
      <c r="CCC1153" s="14"/>
      <c r="CCD1153" s="14"/>
      <c r="CCE1153" s="14"/>
      <c r="CCF1153" s="14"/>
      <c r="CCG1153" s="14"/>
      <c r="CCH1153" s="14"/>
      <c r="CCI1153" s="14"/>
      <c r="CCJ1153" s="14"/>
      <c r="CCK1153" s="14"/>
      <c r="CCL1153" s="14"/>
      <c r="CCM1153" s="14"/>
      <c r="CCN1153" s="14"/>
      <c r="CCO1153" s="14"/>
      <c r="CCP1153" s="14"/>
      <c r="CCQ1153" s="14"/>
      <c r="CCR1153" s="14"/>
      <c r="CCS1153" s="14"/>
      <c r="CCT1153" s="14"/>
      <c r="CCU1153" s="14"/>
      <c r="CCV1153" s="14"/>
      <c r="CCW1153" s="14"/>
      <c r="CCX1153" s="14"/>
      <c r="CCY1153" s="14"/>
      <c r="CCZ1153" s="14"/>
      <c r="CDA1153" s="14"/>
      <c r="CDB1153" s="14"/>
      <c r="CDC1153" s="14"/>
      <c r="CDD1153" s="14"/>
      <c r="CDE1153" s="14"/>
      <c r="CDF1153" s="14"/>
      <c r="CDG1153" s="14"/>
      <c r="CDH1153" s="14"/>
      <c r="CDI1153" s="14"/>
      <c r="CDJ1153" s="14"/>
      <c r="CDK1153" s="14"/>
      <c r="CDL1153" s="14"/>
      <c r="CDM1153" s="14"/>
      <c r="CDN1153" s="14"/>
      <c r="CDO1153" s="14"/>
      <c r="CDP1153" s="14"/>
      <c r="CDQ1153" s="14"/>
      <c r="CDR1153" s="14"/>
      <c r="CDS1153" s="14"/>
      <c r="CDT1153" s="14"/>
      <c r="CDU1153" s="14"/>
      <c r="CDV1153" s="14"/>
      <c r="CDW1153" s="14"/>
      <c r="CDX1153" s="14"/>
      <c r="CDY1153" s="14"/>
      <c r="CDZ1153" s="14"/>
      <c r="CEA1153" s="14"/>
      <c r="CEB1153" s="14"/>
      <c r="CEC1153" s="14"/>
      <c r="CED1153" s="14"/>
      <c r="CEE1153" s="14"/>
      <c r="CEF1153" s="14"/>
      <c r="CEG1153" s="14"/>
      <c r="CEH1153" s="14"/>
      <c r="CEI1153" s="14"/>
      <c r="CEJ1153" s="14"/>
      <c r="CEK1153" s="14"/>
      <c r="CEL1153" s="14"/>
      <c r="CEM1153" s="14"/>
      <c r="CEN1153" s="14"/>
      <c r="CEO1153" s="14"/>
      <c r="CEP1153" s="14"/>
      <c r="CEQ1153" s="14"/>
      <c r="CER1153" s="14"/>
      <c r="CES1153" s="14"/>
      <c r="CET1153" s="14"/>
      <c r="CEU1153" s="14"/>
      <c r="CEV1153" s="14"/>
      <c r="CEW1153" s="14"/>
      <c r="CEX1153" s="14"/>
      <c r="CEY1153" s="14"/>
      <c r="CEZ1153" s="14"/>
      <c r="CFA1153" s="14"/>
      <c r="CFB1153" s="14"/>
      <c r="CFC1153" s="14"/>
      <c r="CFD1153" s="14"/>
      <c r="CFE1153" s="14"/>
      <c r="CFF1153" s="14"/>
      <c r="CFG1153" s="14"/>
      <c r="CFH1153" s="14"/>
      <c r="CFI1153" s="14"/>
      <c r="CFJ1153" s="14"/>
      <c r="CFK1153" s="14"/>
      <c r="CFL1153" s="14"/>
      <c r="CFM1153" s="14"/>
      <c r="CFN1153" s="14"/>
      <c r="CFO1153" s="14"/>
      <c r="CFP1153" s="14"/>
      <c r="CFQ1153" s="14"/>
      <c r="CFR1153" s="14"/>
      <c r="CFS1153" s="14"/>
      <c r="CFT1153" s="14"/>
      <c r="CFU1153" s="14"/>
      <c r="CFV1153" s="14"/>
      <c r="CFW1153" s="14"/>
      <c r="CFX1153" s="14"/>
      <c r="CFY1153" s="14"/>
      <c r="CFZ1153" s="14"/>
      <c r="CGA1153" s="14"/>
      <c r="CGB1153" s="14"/>
      <c r="CGC1153" s="14"/>
      <c r="CGD1153" s="14"/>
      <c r="CGE1153" s="14"/>
      <c r="CGF1153" s="14"/>
      <c r="CGG1153" s="14"/>
      <c r="CGH1153" s="14"/>
      <c r="CGI1153" s="14"/>
      <c r="CGJ1153" s="14"/>
      <c r="CGK1153" s="14"/>
      <c r="CGL1153" s="14"/>
      <c r="CGM1153" s="14"/>
      <c r="CGN1153" s="14"/>
      <c r="CGO1153" s="14"/>
      <c r="CGP1153" s="14"/>
      <c r="CGQ1153" s="14"/>
      <c r="CGR1153" s="14"/>
      <c r="CGS1153" s="14"/>
      <c r="CGT1153" s="14"/>
      <c r="CGU1153" s="14"/>
      <c r="CGV1153" s="14"/>
      <c r="CGW1153" s="14"/>
      <c r="CGX1153" s="14"/>
      <c r="CGY1153" s="14"/>
      <c r="CGZ1153" s="14"/>
      <c r="CHA1153" s="14"/>
      <c r="CHB1153" s="14"/>
      <c r="CHC1153" s="14"/>
      <c r="CHD1153" s="14"/>
      <c r="CHE1153" s="14"/>
      <c r="CHF1153" s="14"/>
      <c r="CHG1153" s="14"/>
      <c r="CHH1153" s="14"/>
      <c r="CHI1153" s="14"/>
      <c r="CHJ1153" s="14"/>
      <c r="CHK1153" s="14"/>
      <c r="CHL1153" s="14"/>
      <c r="CHM1153" s="14"/>
      <c r="CHN1153" s="14"/>
      <c r="CHO1153" s="14"/>
      <c r="CHP1153" s="14"/>
      <c r="CHQ1153" s="14"/>
      <c r="CHR1153" s="14"/>
      <c r="CHS1153" s="14"/>
      <c r="CHT1153" s="14"/>
      <c r="CHU1153" s="14"/>
      <c r="CHV1153" s="14"/>
      <c r="CHW1153" s="14"/>
      <c r="CHX1153" s="14"/>
      <c r="CHY1153" s="14"/>
      <c r="CHZ1153" s="14"/>
      <c r="CIA1153" s="14"/>
      <c r="CIB1153" s="14"/>
      <c r="CIC1153" s="14"/>
      <c r="CID1153" s="14"/>
      <c r="CIE1153" s="14"/>
      <c r="CIF1153" s="14"/>
      <c r="CIG1153" s="14"/>
      <c r="CIH1153" s="14"/>
      <c r="CII1153" s="14"/>
      <c r="CIJ1153" s="14"/>
      <c r="CIK1153" s="14"/>
      <c r="CIL1153" s="14"/>
      <c r="CIM1153" s="14"/>
      <c r="CIN1153" s="14"/>
      <c r="CIO1153" s="14"/>
      <c r="CIP1153" s="14"/>
      <c r="CIQ1153" s="14"/>
      <c r="CIR1153" s="14"/>
      <c r="CIS1153" s="14"/>
      <c r="CIT1153" s="14"/>
      <c r="CIU1153" s="14"/>
      <c r="CIV1153" s="14"/>
      <c r="CIW1153" s="14"/>
      <c r="CIX1153" s="14"/>
      <c r="CIY1153" s="14"/>
      <c r="CIZ1153" s="14"/>
      <c r="CJA1153" s="14"/>
      <c r="CJB1153" s="14"/>
      <c r="CJC1153" s="14"/>
      <c r="CJD1153" s="14"/>
      <c r="CJE1153" s="14"/>
      <c r="CJF1153" s="14"/>
      <c r="CJG1153" s="14"/>
      <c r="CJH1153" s="14"/>
      <c r="CJI1153" s="14"/>
      <c r="CJJ1153" s="14"/>
      <c r="CJK1153" s="14"/>
      <c r="CJL1153" s="14"/>
      <c r="CJM1153" s="14"/>
      <c r="CJN1153" s="14"/>
      <c r="CJO1153" s="14"/>
      <c r="CJP1153" s="14"/>
      <c r="CJQ1153" s="14"/>
      <c r="CJR1153" s="14"/>
      <c r="CJS1153" s="14"/>
      <c r="CJT1153" s="14"/>
      <c r="CJU1153" s="14"/>
      <c r="CJV1153" s="14"/>
      <c r="CJW1153" s="14"/>
      <c r="CJX1153" s="14"/>
      <c r="CJY1153" s="14"/>
      <c r="CJZ1153" s="14"/>
      <c r="CKA1153" s="14"/>
      <c r="CKB1153" s="14"/>
      <c r="CKC1153" s="14"/>
      <c r="CKD1153" s="14"/>
      <c r="CKE1153" s="14"/>
      <c r="CKF1153" s="14"/>
      <c r="CKG1153" s="14"/>
      <c r="CKH1153" s="14"/>
      <c r="CKI1153" s="14"/>
      <c r="CKJ1153" s="14"/>
      <c r="CKK1153" s="14"/>
      <c r="CKL1153" s="14"/>
      <c r="CKM1153" s="14"/>
      <c r="CKN1153" s="14"/>
      <c r="CKO1153" s="14"/>
      <c r="CKP1153" s="14"/>
      <c r="CKQ1153" s="14"/>
      <c r="CKR1153" s="14"/>
      <c r="CKS1153" s="14"/>
      <c r="CKT1153" s="14"/>
      <c r="CKU1153" s="14"/>
      <c r="CKV1153" s="14"/>
      <c r="CKW1153" s="14"/>
      <c r="CKX1153" s="14"/>
      <c r="CKY1153" s="14"/>
      <c r="CKZ1153" s="14"/>
      <c r="CLA1153" s="14"/>
      <c r="CLB1153" s="14"/>
      <c r="CLC1153" s="14"/>
      <c r="CLD1153" s="14"/>
      <c r="CLE1153" s="14"/>
      <c r="CLF1153" s="14"/>
      <c r="CLG1153" s="14"/>
      <c r="CLH1153" s="14"/>
      <c r="CLI1153" s="14"/>
      <c r="CLJ1153" s="14"/>
      <c r="CLK1153" s="14"/>
      <c r="CLL1153" s="14"/>
      <c r="CLM1153" s="14"/>
      <c r="CLN1153" s="14"/>
      <c r="CLO1153" s="14"/>
      <c r="CLP1153" s="14"/>
      <c r="CLQ1153" s="14"/>
      <c r="CLR1153" s="14"/>
      <c r="CLS1153" s="14"/>
      <c r="CLT1153" s="14"/>
      <c r="CLU1153" s="14"/>
      <c r="CLV1153" s="14"/>
      <c r="CLW1153" s="14"/>
      <c r="CLX1153" s="14"/>
      <c r="CLY1153" s="14"/>
      <c r="CLZ1153" s="14"/>
      <c r="CMA1153" s="14"/>
      <c r="CMB1153" s="14"/>
      <c r="CMC1153" s="14"/>
      <c r="CMD1153" s="14"/>
      <c r="CME1153" s="14"/>
      <c r="CMF1153" s="14"/>
      <c r="CMG1153" s="14"/>
      <c r="CMH1153" s="14"/>
      <c r="CMI1153" s="14"/>
      <c r="CMJ1153" s="14"/>
      <c r="CMK1153" s="14"/>
      <c r="CML1153" s="14"/>
      <c r="CMM1153" s="14"/>
      <c r="CMN1153" s="14"/>
      <c r="CMO1153" s="14"/>
      <c r="CMP1153" s="14"/>
      <c r="CMQ1153" s="14"/>
      <c r="CMR1153" s="14"/>
      <c r="CMS1153" s="14"/>
      <c r="CMT1153" s="14"/>
      <c r="CMU1153" s="14"/>
      <c r="CMV1153" s="14"/>
      <c r="CMW1153" s="14"/>
      <c r="CMX1153" s="14"/>
      <c r="CMY1153" s="14"/>
      <c r="CMZ1153" s="14"/>
      <c r="CNA1153" s="14"/>
      <c r="CNB1153" s="14"/>
      <c r="CNC1153" s="14"/>
      <c r="CND1153" s="14"/>
      <c r="CNE1153" s="14"/>
      <c r="CNF1153" s="14"/>
      <c r="CNG1153" s="14"/>
      <c r="CNH1153" s="14"/>
      <c r="CNI1153" s="14"/>
      <c r="CNJ1153" s="14"/>
      <c r="CNK1153" s="14"/>
      <c r="CNL1153" s="14"/>
      <c r="CNM1153" s="14"/>
      <c r="CNN1153" s="14"/>
      <c r="CNO1153" s="14"/>
      <c r="CNP1153" s="14"/>
      <c r="CNQ1153" s="14"/>
      <c r="CNR1153" s="14"/>
      <c r="CNS1153" s="14"/>
      <c r="CNT1153" s="14"/>
      <c r="CNU1153" s="14"/>
      <c r="CNV1153" s="14"/>
      <c r="CNW1153" s="14"/>
      <c r="CNX1153" s="14"/>
      <c r="CNY1153" s="14"/>
      <c r="CNZ1153" s="14"/>
      <c r="COA1153" s="14"/>
      <c r="COB1153" s="14"/>
      <c r="COC1153" s="14"/>
      <c r="COD1153" s="14"/>
      <c r="COE1153" s="14"/>
      <c r="COF1153" s="14"/>
      <c r="COG1153" s="14"/>
      <c r="COH1153" s="14"/>
      <c r="COI1153" s="14"/>
      <c r="COJ1153" s="14"/>
      <c r="COK1153" s="14"/>
      <c r="COL1153" s="14"/>
      <c r="COM1153" s="14"/>
      <c r="CON1153" s="14"/>
      <c r="COO1153" s="14"/>
      <c r="COP1153" s="14"/>
      <c r="COQ1153" s="14"/>
      <c r="COR1153" s="14"/>
      <c r="COS1153" s="14"/>
      <c r="COT1153" s="14"/>
      <c r="COU1153" s="14"/>
      <c r="COV1153" s="14"/>
      <c r="COW1153" s="14"/>
      <c r="COX1153" s="14"/>
      <c r="COY1153" s="14"/>
      <c r="COZ1153" s="14"/>
      <c r="CPA1153" s="14"/>
      <c r="CPB1153" s="14"/>
      <c r="CPC1153" s="14"/>
      <c r="CPD1153" s="14"/>
      <c r="CPE1153" s="14"/>
      <c r="CPF1153" s="14"/>
      <c r="CPG1153" s="14"/>
      <c r="CPH1153" s="14"/>
      <c r="CPI1153" s="14"/>
      <c r="CPJ1153" s="14"/>
      <c r="CPK1153" s="14"/>
      <c r="CPL1153" s="14"/>
      <c r="CPM1153" s="14"/>
      <c r="CPN1153" s="14"/>
      <c r="CPO1153" s="14"/>
      <c r="CPP1153" s="14"/>
      <c r="CPQ1153" s="14"/>
      <c r="CPR1153" s="14"/>
      <c r="CPS1153" s="14"/>
      <c r="CPT1153" s="14"/>
      <c r="CPU1153" s="14"/>
      <c r="CPV1153" s="14"/>
      <c r="CPW1153" s="14"/>
      <c r="CPX1153" s="14"/>
      <c r="CPY1153" s="14"/>
      <c r="CPZ1153" s="14"/>
      <c r="CQA1153" s="14"/>
      <c r="CQB1153" s="14"/>
      <c r="CQC1153" s="14"/>
      <c r="CQD1153" s="14"/>
      <c r="CQE1153" s="14"/>
      <c r="CQF1153" s="14"/>
      <c r="CQG1153" s="14"/>
      <c r="CQH1153" s="14"/>
      <c r="CQI1153" s="14"/>
      <c r="CQJ1153" s="14"/>
      <c r="CQK1153" s="14"/>
      <c r="CQL1153" s="14"/>
      <c r="CQM1153" s="14"/>
      <c r="CQN1153" s="14"/>
      <c r="CQO1153" s="14"/>
      <c r="CQP1153" s="14"/>
      <c r="CQQ1153" s="14"/>
      <c r="CQR1153" s="14"/>
      <c r="CQS1153" s="14"/>
      <c r="CQT1153" s="14"/>
      <c r="CQU1153" s="14"/>
      <c r="CQV1153" s="14"/>
      <c r="CQW1153" s="14"/>
      <c r="CQX1153" s="14"/>
      <c r="CQY1153" s="14"/>
      <c r="CQZ1153" s="14"/>
      <c r="CRA1153" s="14"/>
      <c r="CRB1153" s="14"/>
      <c r="CRC1153" s="14"/>
      <c r="CRD1153" s="14"/>
      <c r="CRE1153" s="14"/>
      <c r="CRF1153" s="14"/>
      <c r="CRG1153" s="14"/>
      <c r="CRH1153" s="14"/>
      <c r="CRI1153" s="14"/>
      <c r="CRJ1153" s="14"/>
      <c r="CRK1153" s="14"/>
      <c r="CRL1153" s="14"/>
      <c r="CRM1153" s="14"/>
      <c r="CRN1153" s="14"/>
      <c r="CRO1153" s="14"/>
      <c r="CRP1153" s="14"/>
      <c r="CRQ1153" s="14"/>
      <c r="CRR1153" s="14"/>
      <c r="CRS1153" s="14"/>
      <c r="CRT1153" s="14"/>
      <c r="CRU1153" s="14"/>
      <c r="CRV1153" s="14"/>
      <c r="CRW1153" s="14"/>
      <c r="CRX1153" s="14"/>
      <c r="CRY1153" s="14"/>
      <c r="CRZ1153" s="14"/>
      <c r="CSA1153" s="14"/>
      <c r="CSB1153" s="14"/>
      <c r="CSC1153" s="14"/>
      <c r="CSD1153" s="14"/>
      <c r="CSE1153" s="14"/>
      <c r="CSF1153" s="14"/>
      <c r="CSG1153" s="14"/>
      <c r="CSH1153" s="14"/>
      <c r="CSI1153" s="14"/>
      <c r="CSJ1153" s="14"/>
      <c r="CSK1153" s="14"/>
      <c r="CSL1153" s="14"/>
      <c r="CSM1153" s="14"/>
      <c r="CSN1153" s="14"/>
      <c r="CSO1153" s="14"/>
      <c r="CSP1153" s="14"/>
      <c r="CSQ1153" s="14"/>
      <c r="CSR1153" s="14"/>
      <c r="CSS1153" s="14"/>
      <c r="CST1153" s="14"/>
      <c r="CSU1153" s="14"/>
      <c r="CSV1153" s="14"/>
      <c r="CSW1153" s="14"/>
      <c r="CSX1153" s="14"/>
      <c r="CSY1153" s="14"/>
      <c r="CSZ1153" s="14"/>
      <c r="CTA1153" s="14"/>
      <c r="CTB1153" s="14"/>
      <c r="CTC1153" s="14"/>
      <c r="CTD1153" s="14"/>
      <c r="CTE1153" s="14"/>
      <c r="CTF1153" s="14"/>
      <c r="CTG1153" s="14"/>
      <c r="CTH1153" s="14"/>
      <c r="CTI1153" s="14"/>
      <c r="CTJ1153" s="14"/>
      <c r="CTK1153" s="14"/>
      <c r="CTL1153" s="14"/>
      <c r="CTM1153" s="14"/>
      <c r="CTN1153" s="14"/>
      <c r="CTO1153" s="14"/>
      <c r="CTP1153" s="14"/>
      <c r="CTQ1153" s="14"/>
      <c r="CTR1153" s="14"/>
      <c r="CTS1153" s="14"/>
      <c r="CTT1153" s="14"/>
      <c r="CTU1153" s="14"/>
      <c r="CTV1153" s="14"/>
      <c r="CTW1153" s="14"/>
      <c r="CTX1153" s="14"/>
      <c r="CTY1153" s="14"/>
      <c r="CTZ1153" s="14"/>
      <c r="CUA1153" s="14"/>
      <c r="CUB1153" s="14"/>
      <c r="CUC1153" s="14"/>
      <c r="CUD1153" s="14"/>
      <c r="CUE1153" s="14"/>
      <c r="CUF1153" s="14"/>
      <c r="CUG1153" s="14"/>
      <c r="CUH1153" s="14"/>
      <c r="CUI1153" s="14"/>
      <c r="CUJ1153" s="14"/>
      <c r="CUK1153" s="14"/>
      <c r="CUL1153" s="14"/>
      <c r="CUM1153" s="14"/>
      <c r="CUN1153" s="14"/>
      <c r="CUO1153" s="14"/>
      <c r="CUP1153" s="14"/>
      <c r="CUQ1153" s="14"/>
      <c r="CUR1153" s="14"/>
      <c r="CUS1153" s="14"/>
      <c r="CUT1153" s="14"/>
      <c r="CUU1153" s="14"/>
      <c r="CUV1153" s="14"/>
      <c r="CUW1153" s="14"/>
      <c r="CUX1153" s="14"/>
      <c r="CUY1153" s="14"/>
      <c r="CUZ1153" s="14"/>
      <c r="CVA1153" s="14"/>
      <c r="CVB1153" s="14"/>
      <c r="CVC1153" s="14"/>
      <c r="CVD1153" s="14"/>
      <c r="CVE1153" s="14"/>
      <c r="CVF1153" s="14"/>
      <c r="CVG1153" s="14"/>
      <c r="CVH1153" s="14"/>
      <c r="CVI1153" s="14"/>
      <c r="CVJ1153" s="14"/>
      <c r="CVK1153" s="14"/>
      <c r="CVL1153" s="14"/>
      <c r="CVM1153" s="14"/>
      <c r="CVN1153" s="14"/>
      <c r="CVO1153" s="14"/>
      <c r="CVP1153" s="14"/>
      <c r="CVQ1153" s="14"/>
      <c r="CVR1153" s="14"/>
      <c r="CVS1153" s="14"/>
      <c r="CVT1153" s="14"/>
      <c r="CVU1153" s="14"/>
      <c r="CVV1153" s="14"/>
      <c r="CVW1153" s="14"/>
      <c r="CVX1153" s="14"/>
      <c r="CVY1153" s="14"/>
      <c r="CVZ1153" s="14"/>
      <c r="CWA1153" s="14"/>
      <c r="CWB1153" s="14"/>
      <c r="CWC1153" s="14"/>
      <c r="CWD1153" s="14"/>
      <c r="CWE1153" s="14"/>
      <c r="CWF1153" s="14"/>
      <c r="CWG1153" s="14"/>
      <c r="CWH1153" s="14"/>
      <c r="CWI1153" s="14"/>
      <c r="CWJ1153" s="14"/>
      <c r="CWK1153" s="14"/>
      <c r="CWL1153" s="14"/>
      <c r="CWM1153" s="14"/>
      <c r="CWN1153" s="14"/>
      <c r="CWO1153" s="14"/>
      <c r="CWP1153" s="14"/>
      <c r="CWQ1153" s="14"/>
      <c r="CWR1153" s="14"/>
      <c r="CWS1153" s="14"/>
      <c r="CWT1153" s="14"/>
      <c r="CWU1153" s="14"/>
      <c r="CWV1153" s="14"/>
      <c r="CWW1153" s="14"/>
      <c r="CWX1153" s="14"/>
      <c r="CWY1153" s="14"/>
      <c r="CWZ1153" s="14"/>
      <c r="CXA1153" s="14"/>
      <c r="CXB1153" s="14"/>
      <c r="CXC1153" s="14"/>
      <c r="CXD1153" s="14"/>
      <c r="CXE1153" s="14"/>
      <c r="CXF1153" s="14"/>
      <c r="CXG1153" s="14"/>
      <c r="CXH1153" s="14"/>
      <c r="CXI1153" s="14"/>
      <c r="CXJ1153" s="14"/>
      <c r="CXK1153" s="14"/>
      <c r="CXL1153" s="14"/>
      <c r="CXM1153" s="14"/>
      <c r="CXN1153" s="14"/>
      <c r="CXO1153" s="14"/>
      <c r="CXP1153" s="14"/>
      <c r="CXQ1153" s="14"/>
      <c r="CXR1153" s="14"/>
      <c r="CXS1153" s="14"/>
      <c r="CXT1153" s="14"/>
      <c r="CXU1153" s="14"/>
      <c r="CXV1153" s="14"/>
      <c r="CXW1153" s="14"/>
      <c r="CXX1153" s="14"/>
      <c r="CXY1153" s="14"/>
      <c r="CXZ1153" s="14"/>
      <c r="CYA1153" s="14"/>
      <c r="CYB1153" s="14"/>
      <c r="CYC1153" s="14"/>
      <c r="CYD1153" s="14"/>
      <c r="CYE1153" s="14"/>
      <c r="CYF1153" s="14"/>
      <c r="CYG1153" s="14"/>
      <c r="CYH1153" s="14"/>
      <c r="CYI1153" s="14"/>
      <c r="CYJ1153" s="14"/>
      <c r="CYK1153" s="14"/>
      <c r="CYL1153" s="14"/>
      <c r="CYM1153" s="14"/>
      <c r="CYN1153" s="14"/>
      <c r="CYO1153" s="14"/>
      <c r="CYP1153" s="14"/>
      <c r="CYQ1153" s="14"/>
      <c r="CYR1153" s="14"/>
      <c r="CYS1153" s="14"/>
      <c r="CYT1153" s="14"/>
      <c r="CYU1153" s="14"/>
      <c r="CYV1153" s="14"/>
      <c r="CYW1153" s="14"/>
      <c r="CYX1153" s="14"/>
      <c r="CYY1153" s="14"/>
      <c r="CYZ1153" s="14"/>
      <c r="CZA1153" s="14"/>
      <c r="CZB1153" s="14"/>
      <c r="CZC1153" s="14"/>
      <c r="CZD1153" s="14"/>
      <c r="CZE1153" s="14"/>
      <c r="CZF1153" s="14"/>
      <c r="CZG1153" s="14"/>
      <c r="CZH1153" s="14"/>
      <c r="CZI1153" s="14"/>
      <c r="CZJ1153" s="14"/>
      <c r="CZK1153" s="14"/>
      <c r="CZL1153" s="14"/>
      <c r="CZM1153" s="14"/>
      <c r="CZN1153" s="14"/>
      <c r="CZO1153" s="14"/>
      <c r="CZP1153" s="14"/>
      <c r="CZQ1153" s="14"/>
      <c r="CZR1153" s="14"/>
      <c r="CZS1153" s="14"/>
      <c r="CZT1153" s="14"/>
      <c r="CZU1153" s="14"/>
      <c r="CZV1153" s="14"/>
      <c r="CZW1153" s="14"/>
      <c r="CZX1153" s="14"/>
      <c r="CZY1153" s="14"/>
      <c r="CZZ1153" s="14"/>
      <c r="DAA1153" s="14"/>
      <c r="DAB1153" s="14"/>
      <c r="DAC1153" s="14"/>
      <c r="DAD1153" s="14"/>
      <c r="DAE1153" s="14"/>
      <c r="DAF1153" s="14"/>
      <c r="DAG1153" s="14"/>
      <c r="DAH1153" s="14"/>
      <c r="DAI1153" s="14"/>
      <c r="DAJ1153" s="14"/>
      <c r="DAK1153" s="14"/>
      <c r="DAL1153" s="14"/>
      <c r="DAM1153" s="14"/>
      <c r="DAN1153" s="14"/>
      <c r="DAO1153" s="14"/>
      <c r="DAP1153" s="14"/>
      <c r="DAQ1153" s="14"/>
      <c r="DAR1153" s="14"/>
      <c r="DAS1153" s="14"/>
      <c r="DAT1153" s="14"/>
      <c r="DAU1153" s="14"/>
      <c r="DAV1153" s="14"/>
      <c r="DAW1153" s="14"/>
      <c r="DAX1153" s="14"/>
      <c r="DAY1153" s="14"/>
      <c r="DAZ1153" s="14"/>
      <c r="DBA1153" s="14"/>
      <c r="DBB1153" s="14"/>
      <c r="DBC1153" s="14"/>
      <c r="DBD1153" s="14"/>
      <c r="DBE1153" s="14"/>
      <c r="DBF1153" s="14"/>
      <c r="DBG1153" s="14"/>
      <c r="DBH1153" s="14"/>
      <c r="DBI1153" s="14"/>
      <c r="DBJ1153" s="14"/>
      <c r="DBK1153" s="14"/>
      <c r="DBL1153" s="14"/>
      <c r="DBM1153" s="14"/>
      <c r="DBN1153" s="14"/>
      <c r="DBO1153" s="14"/>
      <c r="DBP1153" s="14"/>
      <c r="DBQ1153" s="14"/>
      <c r="DBR1153" s="14"/>
      <c r="DBS1153" s="14"/>
      <c r="DBT1153" s="14"/>
      <c r="DBU1153" s="14"/>
      <c r="DBV1153" s="14"/>
      <c r="DBW1153" s="14"/>
      <c r="DBX1153" s="14"/>
      <c r="DBY1153" s="14"/>
      <c r="DBZ1153" s="14"/>
      <c r="DCA1153" s="14"/>
      <c r="DCB1153" s="14"/>
      <c r="DCC1153" s="14"/>
      <c r="DCD1153" s="14"/>
      <c r="DCE1153" s="14"/>
      <c r="DCF1153" s="14"/>
      <c r="DCG1153" s="14"/>
      <c r="DCH1153" s="14"/>
      <c r="DCI1153" s="14"/>
      <c r="DCJ1153" s="14"/>
      <c r="DCK1153" s="14"/>
      <c r="DCL1153" s="14"/>
      <c r="DCM1153" s="14"/>
      <c r="DCN1153" s="14"/>
      <c r="DCO1153" s="14"/>
      <c r="DCP1153" s="14"/>
      <c r="DCQ1153" s="14"/>
      <c r="DCR1153" s="14"/>
      <c r="DCS1153" s="14"/>
      <c r="DCT1153" s="14"/>
      <c r="DCU1153" s="14"/>
      <c r="DCV1153" s="14"/>
      <c r="DCW1153" s="14"/>
      <c r="DCX1153" s="14"/>
      <c r="DCY1153" s="14"/>
      <c r="DCZ1153" s="14"/>
      <c r="DDA1153" s="14"/>
      <c r="DDB1153" s="14"/>
      <c r="DDC1153" s="14"/>
      <c r="DDD1153" s="14"/>
      <c r="DDE1153" s="14"/>
      <c r="DDF1153" s="14"/>
      <c r="DDG1153" s="14"/>
      <c r="DDH1153" s="14"/>
      <c r="DDI1153" s="14"/>
      <c r="DDJ1153" s="14"/>
      <c r="DDK1153" s="14"/>
      <c r="DDL1153" s="14"/>
      <c r="DDM1153" s="14"/>
      <c r="DDN1153" s="14"/>
      <c r="DDO1153" s="14"/>
      <c r="DDP1153" s="14"/>
      <c r="DDQ1153" s="14"/>
      <c r="DDR1153" s="14"/>
      <c r="DDS1153" s="14"/>
      <c r="DDT1153" s="14"/>
      <c r="DDU1153" s="14"/>
      <c r="DDV1153" s="14"/>
      <c r="DDW1153" s="14"/>
      <c r="DDX1153" s="14"/>
      <c r="DDY1153" s="14"/>
      <c r="DDZ1153" s="14"/>
      <c r="DEA1153" s="14"/>
      <c r="DEB1153" s="14"/>
      <c r="DEC1153" s="14"/>
      <c r="DED1153" s="14"/>
      <c r="DEE1153" s="14"/>
      <c r="DEF1153" s="14"/>
      <c r="DEG1153" s="14"/>
      <c r="DEH1153" s="14"/>
      <c r="DEI1153" s="14"/>
      <c r="DEJ1153" s="14"/>
      <c r="DEK1153" s="14"/>
      <c r="DEL1153" s="14"/>
      <c r="DEM1153" s="14"/>
      <c r="DEN1153" s="14"/>
      <c r="DEO1153" s="14"/>
      <c r="DEP1153" s="14"/>
      <c r="DEQ1153" s="14"/>
      <c r="DER1153" s="14"/>
      <c r="DES1153" s="14"/>
      <c r="DET1153" s="14"/>
      <c r="DEU1153" s="14"/>
      <c r="DEV1153" s="14"/>
      <c r="DEW1153" s="14"/>
      <c r="DEX1153" s="14"/>
      <c r="DEY1153" s="14"/>
      <c r="DEZ1153" s="14"/>
      <c r="DFA1153" s="14"/>
      <c r="DFB1153" s="14"/>
      <c r="DFC1153" s="14"/>
      <c r="DFD1153" s="14"/>
      <c r="DFE1153" s="14"/>
      <c r="DFF1153" s="14"/>
      <c r="DFG1153" s="14"/>
      <c r="DFH1153" s="14"/>
      <c r="DFI1153" s="14"/>
      <c r="DFJ1153" s="14"/>
      <c r="DFK1153" s="14"/>
      <c r="DFL1153" s="14"/>
      <c r="DFM1153" s="14"/>
      <c r="DFN1153" s="14"/>
      <c r="DFO1153" s="14"/>
      <c r="DFP1153" s="14"/>
      <c r="DFQ1153" s="14"/>
      <c r="DFR1153" s="14"/>
      <c r="DFS1153" s="14"/>
      <c r="DFT1153" s="14"/>
      <c r="DFU1153" s="14"/>
      <c r="DFV1153" s="14"/>
      <c r="DFW1153" s="14"/>
      <c r="DFX1153" s="14"/>
      <c r="DFY1153" s="14"/>
      <c r="DFZ1153" s="14"/>
      <c r="DGA1153" s="14"/>
      <c r="DGB1153" s="14"/>
      <c r="DGC1153" s="14"/>
      <c r="DGD1153" s="14"/>
      <c r="DGE1153" s="14"/>
      <c r="DGF1153" s="14"/>
      <c r="DGG1153" s="14"/>
      <c r="DGH1153" s="14"/>
      <c r="DGI1153" s="14"/>
      <c r="DGJ1153" s="14"/>
      <c r="DGK1153" s="14"/>
      <c r="DGL1153" s="14"/>
      <c r="DGM1153" s="14"/>
      <c r="DGN1153" s="14"/>
      <c r="DGO1153" s="14"/>
      <c r="DGP1153" s="14"/>
      <c r="DGQ1153" s="14"/>
      <c r="DGR1153" s="14"/>
      <c r="DGS1153" s="14"/>
      <c r="DGT1153" s="14"/>
      <c r="DGU1153" s="14"/>
      <c r="DGV1153" s="14"/>
      <c r="DGW1153" s="14"/>
      <c r="DGX1153" s="14"/>
      <c r="DGY1153" s="14"/>
      <c r="DGZ1153" s="14"/>
      <c r="DHA1153" s="14"/>
      <c r="DHB1153" s="14"/>
      <c r="DHC1153" s="14"/>
      <c r="DHD1153" s="14"/>
      <c r="DHE1153" s="14"/>
      <c r="DHF1153" s="14"/>
      <c r="DHG1153" s="14"/>
      <c r="DHH1153" s="14"/>
      <c r="DHI1153" s="14"/>
      <c r="DHJ1153" s="14"/>
      <c r="DHK1153" s="14"/>
      <c r="DHL1153" s="14"/>
      <c r="DHM1153" s="14"/>
      <c r="DHN1153" s="14"/>
      <c r="DHO1153" s="14"/>
      <c r="DHP1153" s="14"/>
      <c r="DHQ1153" s="14"/>
      <c r="DHR1153" s="14"/>
      <c r="DHS1153" s="14"/>
      <c r="DHT1153" s="14"/>
      <c r="DHU1153" s="14"/>
      <c r="DHV1153" s="14"/>
      <c r="DHW1153" s="14"/>
      <c r="DHX1153" s="14"/>
      <c r="DHY1153" s="14"/>
      <c r="DHZ1153" s="14"/>
      <c r="DIA1153" s="14"/>
      <c r="DIB1153" s="14"/>
      <c r="DIC1153" s="14"/>
      <c r="DID1153" s="14"/>
      <c r="DIE1153" s="14"/>
      <c r="DIF1153" s="14"/>
      <c r="DIG1153" s="14"/>
      <c r="DIH1153" s="14"/>
      <c r="DII1153" s="14"/>
      <c r="DIJ1153" s="14"/>
      <c r="DIK1153" s="14"/>
      <c r="DIL1153" s="14"/>
      <c r="DIM1153" s="14"/>
      <c r="DIN1153" s="14"/>
      <c r="DIO1153" s="14"/>
      <c r="DIP1153" s="14"/>
      <c r="DIQ1153" s="14"/>
      <c r="DIR1153" s="14"/>
      <c r="DIS1153" s="14"/>
      <c r="DIT1153" s="14"/>
      <c r="DIU1153" s="14"/>
      <c r="DIV1153" s="14"/>
      <c r="DIW1153" s="14"/>
      <c r="DIX1153" s="14"/>
      <c r="DIY1153" s="14"/>
      <c r="DIZ1153" s="14"/>
      <c r="DJA1153" s="14"/>
      <c r="DJB1153" s="14"/>
      <c r="DJC1153" s="14"/>
      <c r="DJD1153" s="14"/>
      <c r="DJE1153" s="14"/>
      <c r="DJF1153" s="14"/>
      <c r="DJG1153" s="14"/>
      <c r="DJH1153" s="14"/>
      <c r="DJI1153" s="14"/>
      <c r="DJJ1153" s="14"/>
      <c r="DJK1153" s="14"/>
      <c r="DJL1153" s="14"/>
      <c r="DJM1153" s="14"/>
      <c r="DJN1153" s="14"/>
      <c r="DJO1153" s="14"/>
      <c r="DJP1153" s="14"/>
      <c r="DJQ1153" s="14"/>
      <c r="DJR1153" s="14"/>
      <c r="DJS1153" s="14"/>
      <c r="DJT1153" s="14"/>
      <c r="DJU1153" s="14"/>
      <c r="DJV1153" s="14"/>
      <c r="DJW1153" s="14"/>
      <c r="DJX1153" s="14"/>
      <c r="DJY1153" s="14"/>
      <c r="DJZ1153" s="14"/>
      <c r="DKA1153" s="14"/>
      <c r="DKB1153" s="14"/>
      <c r="DKC1153" s="14"/>
      <c r="DKD1153" s="14"/>
      <c r="DKE1153" s="14"/>
      <c r="DKF1153" s="14"/>
      <c r="DKG1153" s="14"/>
      <c r="DKH1153" s="14"/>
      <c r="DKI1153" s="14"/>
      <c r="DKJ1153" s="14"/>
      <c r="DKK1153" s="14"/>
      <c r="DKL1153" s="14"/>
      <c r="DKM1153" s="14"/>
      <c r="DKN1153" s="14"/>
      <c r="DKO1153" s="14"/>
      <c r="DKP1153" s="14"/>
      <c r="DKQ1153" s="14"/>
      <c r="DKR1153" s="14"/>
      <c r="DKS1153" s="14"/>
      <c r="DKT1153" s="14"/>
      <c r="DKU1153" s="14"/>
      <c r="DKV1153" s="14"/>
      <c r="DKW1153" s="14"/>
      <c r="DKX1153" s="14"/>
      <c r="DKY1153" s="14"/>
      <c r="DKZ1153" s="14"/>
      <c r="DLA1153" s="14"/>
      <c r="DLB1153" s="14"/>
      <c r="DLC1153" s="14"/>
      <c r="DLD1153" s="14"/>
      <c r="DLE1153" s="14"/>
      <c r="DLF1153" s="14"/>
      <c r="DLG1153" s="14"/>
      <c r="DLH1153" s="14"/>
      <c r="DLI1153" s="14"/>
      <c r="DLJ1153" s="14"/>
      <c r="DLK1153" s="14"/>
      <c r="DLL1153" s="14"/>
      <c r="DLM1153" s="14"/>
      <c r="DLN1153" s="14"/>
      <c r="DLO1153" s="14"/>
      <c r="DLP1153" s="14"/>
      <c r="DLQ1153" s="14"/>
      <c r="DLR1153" s="14"/>
      <c r="DLS1153" s="14"/>
      <c r="DLT1153" s="14"/>
      <c r="DLU1153" s="14"/>
      <c r="DLV1153" s="14"/>
      <c r="DLW1153" s="14"/>
      <c r="DLX1153" s="14"/>
      <c r="DLY1153" s="14"/>
      <c r="DLZ1153" s="14"/>
      <c r="DMA1153" s="14"/>
      <c r="DMB1153" s="14"/>
      <c r="DMC1153" s="14"/>
      <c r="DMD1153" s="14"/>
      <c r="DME1153" s="14"/>
      <c r="DMF1153" s="14"/>
      <c r="DMG1153" s="14"/>
      <c r="DMH1153" s="14"/>
      <c r="DMI1153" s="14"/>
      <c r="DMJ1153" s="14"/>
      <c r="DMK1153" s="14"/>
      <c r="DML1153" s="14"/>
      <c r="DMM1153" s="14"/>
      <c r="DMN1153" s="14"/>
      <c r="DMO1153" s="14"/>
      <c r="DMP1153" s="14"/>
      <c r="DMQ1153" s="14"/>
      <c r="DMR1153" s="14"/>
      <c r="DMS1153" s="14"/>
      <c r="DMT1153" s="14"/>
      <c r="DMU1153" s="14"/>
      <c r="DMV1153" s="14"/>
      <c r="DMW1153" s="14"/>
      <c r="DMX1153" s="14"/>
      <c r="DMY1153" s="14"/>
      <c r="DMZ1153" s="14"/>
      <c r="DNA1153" s="14"/>
      <c r="DNB1153" s="14"/>
      <c r="DNC1153" s="14"/>
      <c r="DND1153" s="14"/>
      <c r="DNE1153" s="14"/>
      <c r="DNF1153" s="14"/>
      <c r="DNG1153" s="14"/>
      <c r="DNH1153" s="14"/>
      <c r="DNI1153" s="14"/>
      <c r="DNJ1153" s="14"/>
      <c r="DNK1153" s="14"/>
      <c r="DNL1153" s="14"/>
      <c r="DNM1153" s="14"/>
      <c r="DNN1153" s="14"/>
      <c r="DNO1153" s="14"/>
      <c r="DNP1153" s="14"/>
      <c r="DNQ1153" s="14"/>
      <c r="DNR1153" s="14"/>
      <c r="DNS1153" s="14"/>
      <c r="DNT1153" s="14"/>
      <c r="DNU1153" s="14"/>
      <c r="DNV1153" s="14"/>
      <c r="DNW1153" s="14"/>
      <c r="DNX1153" s="14"/>
      <c r="DNY1153" s="14"/>
      <c r="DNZ1153" s="14"/>
      <c r="DOA1153" s="14"/>
      <c r="DOB1153" s="14"/>
      <c r="DOC1153" s="14"/>
      <c r="DOD1153" s="14"/>
      <c r="DOE1153" s="14"/>
      <c r="DOF1153" s="14"/>
      <c r="DOG1153" s="14"/>
      <c r="DOH1153" s="14"/>
      <c r="DOI1153" s="14"/>
      <c r="DOJ1153" s="14"/>
      <c r="DOK1153" s="14"/>
      <c r="DOL1153" s="14"/>
      <c r="DOM1153" s="14"/>
      <c r="DON1153" s="14"/>
      <c r="DOO1153" s="14"/>
      <c r="DOP1153" s="14"/>
      <c r="DOQ1153" s="14"/>
      <c r="DOR1153" s="14"/>
      <c r="DOS1153" s="14"/>
      <c r="DOT1153" s="14"/>
      <c r="DOU1153" s="14"/>
      <c r="DOV1153" s="14"/>
      <c r="DOW1153" s="14"/>
      <c r="DOX1153" s="14"/>
      <c r="DOY1153" s="14"/>
      <c r="DOZ1153" s="14"/>
      <c r="DPA1153" s="14"/>
      <c r="DPB1153" s="14"/>
      <c r="DPC1153" s="14"/>
      <c r="DPD1153" s="14"/>
      <c r="DPE1153" s="14"/>
      <c r="DPF1153" s="14"/>
      <c r="DPG1153" s="14"/>
      <c r="DPH1153" s="14"/>
      <c r="DPI1153" s="14"/>
      <c r="DPJ1153" s="14"/>
      <c r="DPK1153" s="14"/>
      <c r="DPL1153" s="14"/>
      <c r="DPM1153" s="14"/>
      <c r="DPN1153" s="14"/>
      <c r="DPO1153" s="14"/>
      <c r="DPP1153" s="14"/>
      <c r="DPQ1153" s="14"/>
      <c r="DPR1153" s="14"/>
      <c r="DPS1153" s="14"/>
      <c r="DPT1153" s="14"/>
      <c r="DPU1153" s="14"/>
      <c r="DPV1153" s="14"/>
      <c r="DPW1153" s="14"/>
      <c r="DPX1153" s="14"/>
      <c r="DPY1153" s="14"/>
      <c r="DPZ1153" s="14"/>
      <c r="DQA1153" s="14"/>
      <c r="DQB1153" s="14"/>
      <c r="DQC1153" s="14"/>
      <c r="DQD1153" s="14"/>
      <c r="DQE1153" s="14"/>
      <c r="DQF1153" s="14"/>
      <c r="DQG1153" s="14"/>
      <c r="DQH1153" s="14"/>
      <c r="DQI1153" s="14"/>
      <c r="DQJ1153" s="14"/>
      <c r="DQK1153" s="14"/>
      <c r="DQL1153" s="14"/>
      <c r="DQM1153" s="14"/>
      <c r="DQN1153" s="14"/>
      <c r="DQO1153" s="14"/>
      <c r="DQP1153" s="14"/>
      <c r="DQQ1153" s="14"/>
      <c r="DQR1153" s="14"/>
      <c r="DQS1153" s="14"/>
      <c r="DQT1153" s="14"/>
      <c r="DQU1153" s="14"/>
      <c r="DQV1153" s="14"/>
      <c r="DQW1153" s="14"/>
      <c r="DQX1153" s="14"/>
      <c r="DQY1153" s="14"/>
      <c r="DQZ1153" s="14"/>
      <c r="DRA1153" s="14"/>
      <c r="DRB1153" s="14"/>
      <c r="DRC1153" s="14"/>
      <c r="DRD1153" s="14"/>
      <c r="DRE1153" s="14"/>
      <c r="DRF1153" s="14"/>
      <c r="DRG1153" s="14"/>
      <c r="DRH1153" s="14"/>
      <c r="DRI1153" s="14"/>
      <c r="DRJ1153" s="14"/>
      <c r="DRK1153" s="14"/>
      <c r="DRL1153" s="14"/>
      <c r="DRM1153" s="14"/>
      <c r="DRN1153" s="14"/>
      <c r="DRO1153" s="14"/>
      <c r="DRP1153" s="14"/>
      <c r="DRQ1153" s="14"/>
      <c r="DRR1153" s="14"/>
      <c r="DRS1153" s="14"/>
      <c r="DRT1153" s="14"/>
      <c r="DRU1153" s="14"/>
      <c r="DRV1153" s="14"/>
      <c r="DRW1153" s="14"/>
      <c r="DRX1153" s="14"/>
      <c r="DRY1153" s="14"/>
      <c r="DRZ1153" s="14"/>
      <c r="DSA1153" s="14"/>
      <c r="DSB1153" s="14"/>
      <c r="DSC1153" s="14"/>
      <c r="DSD1153" s="14"/>
      <c r="DSE1153" s="14"/>
      <c r="DSF1153" s="14"/>
      <c r="DSG1153" s="14"/>
      <c r="DSH1153" s="14"/>
      <c r="DSI1153" s="14"/>
      <c r="DSJ1153" s="14"/>
      <c r="DSK1153" s="14"/>
      <c r="DSL1153" s="14"/>
      <c r="DSM1153" s="14"/>
      <c r="DSN1153" s="14"/>
      <c r="DSO1153" s="14"/>
      <c r="DSP1153" s="14"/>
      <c r="DSQ1153" s="14"/>
      <c r="DSR1153" s="14"/>
      <c r="DSS1153" s="14"/>
      <c r="DST1153" s="14"/>
      <c r="DSU1153" s="14"/>
      <c r="DSV1153" s="14"/>
      <c r="DSW1153" s="14"/>
      <c r="DSX1153" s="14"/>
      <c r="DSY1153" s="14"/>
      <c r="DSZ1153" s="14"/>
      <c r="DTA1153" s="14"/>
      <c r="DTB1153" s="14"/>
      <c r="DTC1153" s="14"/>
      <c r="DTD1153" s="14"/>
      <c r="DTE1153" s="14"/>
      <c r="DTF1153" s="14"/>
      <c r="DTG1153" s="14"/>
      <c r="DTH1153" s="14"/>
      <c r="DTI1153" s="14"/>
      <c r="DTJ1153" s="14"/>
      <c r="DTK1153" s="14"/>
      <c r="DTL1153" s="14"/>
      <c r="DTM1153" s="14"/>
      <c r="DTN1153" s="14"/>
      <c r="DTO1153" s="14"/>
      <c r="DTP1153" s="14"/>
      <c r="DTQ1153" s="14"/>
      <c r="DTR1153" s="14"/>
      <c r="DTS1153" s="14"/>
      <c r="DTT1153" s="14"/>
      <c r="DTU1153" s="14"/>
      <c r="DTV1153" s="14"/>
      <c r="DTW1153" s="14"/>
      <c r="DTX1153" s="14"/>
      <c r="DTY1153" s="14"/>
      <c r="DTZ1153" s="14"/>
      <c r="DUA1153" s="14"/>
      <c r="DUB1153" s="14"/>
      <c r="DUC1153" s="14"/>
      <c r="DUD1153" s="14"/>
      <c r="DUE1153" s="14"/>
      <c r="DUF1153" s="14"/>
      <c r="DUG1153" s="14"/>
      <c r="DUH1153" s="14"/>
      <c r="DUI1153" s="14"/>
      <c r="DUJ1153" s="14"/>
      <c r="DUK1153" s="14"/>
      <c r="DUL1153" s="14"/>
      <c r="DUM1153" s="14"/>
      <c r="DUN1153" s="14"/>
      <c r="DUO1153" s="14"/>
      <c r="DUP1153" s="14"/>
      <c r="DUQ1153" s="14"/>
      <c r="DUR1153" s="14"/>
      <c r="DUS1153" s="14"/>
      <c r="DUT1153" s="14"/>
      <c r="DUU1153" s="14"/>
      <c r="DUV1153" s="14"/>
      <c r="DUW1153" s="14"/>
      <c r="DUX1153" s="14"/>
      <c r="DUY1153" s="14"/>
      <c r="DUZ1153" s="14"/>
      <c r="DVA1153" s="14"/>
      <c r="DVB1153" s="14"/>
      <c r="DVC1153" s="14"/>
      <c r="DVD1153" s="14"/>
      <c r="DVE1153" s="14"/>
      <c r="DVF1153" s="14"/>
      <c r="DVG1153" s="14"/>
      <c r="DVH1153" s="14"/>
      <c r="DVI1153" s="14"/>
      <c r="DVJ1153" s="14"/>
      <c r="DVK1153" s="14"/>
      <c r="DVL1153" s="14"/>
      <c r="DVM1153" s="14"/>
      <c r="DVN1153" s="14"/>
      <c r="DVO1153" s="14"/>
      <c r="DVP1153" s="14"/>
      <c r="DVQ1153" s="14"/>
      <c r="DVR1153" s="14"/>
      <c r="DVS1153" s="14"/>
      <c r="DVT1153" s="14"/>
      <c r="DVU1153" s="14"/>
      <c r="DVV1153" s="14"/>
      <c r="DVW1153" s="14"/>
      <c r="DVX1153" s="14"/>
      <c r="DVY1153" s="14"/>
      <c r="DVZ1153" s="14"/>
      <c r="DWA1153" s="14"/>
      <c r="DWB1153" s="14"/>
      <c r="DWC1153" s="14"/>
      <c r="DWD1153" s="14"/>
      <c r="DWE1153" s="14"/>
      <c r="DWF1153" s="14"/>
      <c r="DWG1153" s="14"/>
      <c r="DWH1153" s="14"/>
      <c r="DWI1153" s="14"/>
      <c r="DWJ1153" s="14"/>
      <c r="DWK1153" s="14"/>
      <c r="DWL1153" s="14"/>
      <c r="DWM1153" s="14"/>
      <c r="DWN1153" s="14"/>
      <c r="DWO1153" s="14"/>
      <c r="DWP1153" s="14"/>
      <c r="DWQ1153" s="14"/>
      <c r="DWR1153" s="14"/>
      <c r="DWS1153" s="14"/>
      <c r="DWT1153" s="14"/>
      <c r="DWU1153" s="14"/>
      <c r="DWV1153" s="14"/>
      <c r="DWW1153" s="14"/>
      <c r="DWX1153" s="14"/>
      <c r="DWY1153" s="14"/>
      <c r="DWZ1153" s="14"/>
      <c r="DXA1153" s="14"/>
      <c r="DXB1153" s="14"/>
      <c r="DXC1153" s="14"/>
      <c r="DXD1153" s="14"/>
      <c r="DXE1153" s="14"/>
      <c r="DXF1153" s="14"/>
      <c r="DXG1153" s="14"/>
      <c r="DXH1153" s="14"/>
      <c r="DXI1153" s="14"/>
      <c r="DXJ1153" s="14"/>
      <c r="DXK1153" s="14"/>
      <c r="DXL1153" s="14"/>
      <c r="DXM1153" s="14"/>
      <c r="DXN1153" s="14"/>
      <c r="DXO1153" s="14"/>
      <c r="DXP1153" s="14"/>
      <c r="DXQ1153" s="14"/>
      <c r="DXR1153" s="14"/>
      <c r="DXS1153" s="14"/>
      <c r="DXT1153" s="14"/>
      <c r="DXU1153" s="14"/>
      <c r="DXV1153" s="14"/>
      <c r="DXW1153" s="14"/>
      <c r="DXX1153" s="14"/>
      <c r="DXY1153" s="14"/>
      <c r="DXZ1153" s="14"/>
      <c r="DYA1153" s="14"/>
      <c r="DYB1153" s="14"/>
      <c r="DYC1153" s="14"/>
      <c r="DYD1153" s="14"/>
      <c r="DYE1153" s="14"/>
      <c r="DYF1153" s="14"/>
      <c r="DYG1153" s="14"/>
      <c r="DYH1153" s="14"/>
      <c r="DYI1153" s="14"/>
      <c r="DYJ1153" s="14"/>
      <c r="DYK1153" s="14"/>
      <c r="DYL1153" s="14"/>
      <c r="DYM1153" s="14"/>
      <c r="DYN1153" s="14"/>
      <c r="DYO1153" s="14"/>
      <c r="DYP1153" s="14"/>
      <c r="DYQ1153" s="14"/>
      <c r="DYR1153" s="14"/>
      <c r="DYS1153" s="14"/>
      <c r="DYT1153" s="14"/>
      <c r="DYU1153" s="14"/>
      <c r="DYV1153" s="14"/>
      <c r="DYW1153" s="14"/>
      <c r="DYX1153" s="14"/>
      <c r="DYY1153" s="14"/>
      <c r="DYZ1153" s="14"/>
      <c r="DZA1153" s="14"/>
      <c r="DZB1153" s="14"/>
      <c r="DZC1153" s="14"/>
      <c r="DZD1153" s="14"/>
      <c r="DZE1153" s="14"/>
      <c r="DZF1153" s="14"/>
      <c r="DZG1153" s="14"/>
      <c r="DZH1153" s="14"/>
      <c r="DZI1153" s="14"/>
      <c r="DZJ1153" s="14"/>
      <c r="DZK1153" s="14"/>
      <c r="DZL1153" s="14"/>
      <c r="DZM1153" s="14"/>
      <c r="DZN1153" s="14"/>
      <c r="DZO1153" s="14"/>
      <c r="DZP1153" s="14"/>
      <c r="DZQ1153" s="14"/>
      <c r="DZR1153" s="14"/>
      <c r="DZS1153" s="14"/>
      <c r="DZT1153" s="14"/>
      <c r="DZU1153" s="14"/>
      <c r="DZV1153" s="14"/>
      <c r="DZW1153" s="14"/>
      <c r="DZX1153" s="14"/>
      <c r="DZY1153" s="14"/>
      <c r="DZZ1153" s="14"/>
      <c r="EAA1153" s="14"/>
      <c r="EAB1153" s="14"/>
      <c r="EAC1153" s="14"/>
      <c r="EAD1153" s="14"/>
      <c r="EAE1153" s="14"/>
      <c r="EAF1153" s="14"/>
      <c r="EAG1153" s="14"/>
      <c r="EAH1153" s="14"/>
      <c r="EAI1153" s="14"/>
      <c r="EAJ1153" s="14"/>
      <c r="EAK1153" s="14"/>
      <c r="EAL1153" s="14"/>
      <c r="EAM1153" s="14"/>
      <c r="EAN1153" s="14"/>
      <c r="EAO1153" s="14"/>
      <c r="EAP1153" s="14"/>
      <c r="EAQ1153" s="14"/>
      <c r="EAR1153" s="14"/>
      <c r="EAS1153" s="14"/>
      <c r="EAT1153" s="14"/>
      <c r="EAU1153" s="14"/>
      <c r="EAV1153" s="14"/>
      <c r="EAW1153" s="14"/>
      <c r="EAX1153" s="14"/>
      <c r="EAY1153" s="14"/>
      <c r="EAZ1153" s="14"/>
      <c r="EBA1153" s="14"/>
      <c r="EBB1153" s="14"/>
      <c r="EBC1153" s="14"/>
      <c r="EBD1153" s="14"/>
      <c r="EBE1153" s="14"/>
      <c r="EBF1153" s="14"/>
      <c r="EBG1153" s="14"/>
      <c r="EBH1153" s="14"/>
      <c r="EBI1153" s="14"/>
      <c r="EBJ1153" s="14"/>
      <c r="EBK1153" s="14"/>
      <c r="EBL1153" s="14"/>
      <c r="EBM1153" s="14"/>
      <c r="EBN1153" s="14"/>
      <c r="EBO1153" s="14"/>
      <c r="EBP1153" s="14"/>
      <c r="EBQ1153" s="14"/>
      <c r="EBR1153" s="14"/>
      <c r="EBS1153" s="14"/>
      <c r="EBT1153" s="14"/>
      <c r="EBU1153" s="14"/>
      <c r="EBV1153" s="14"/>
      <c r="EBW1153" s="14"/>
      <c r="EBX1153" s="14"/>
      <c r="EBY1153" s="14"/>
      <c r="EBZ1153" s="14"/>
      <c r="ECA1153" s="14"/>
      <c r="ECB1153" s="14"/>
      <c r="ECC1153" s="14"/>
      <c r="ECD1153" s="14"/>
      <c r="ECE1153" s="14"/>
      <c r="ECF1153" s="14"/>
      <c r="ECG1153" s="14"/>
      <c r="ECH1153" s="14"/>
      <c r="ECI1153" s="14"/>
      <c r="ECJ1153" s="14"/>
      <c r="ECK1153" s="14"/>
      <c r="ECL1153" s="14"/>
      <c r="ECM1153" s="14"/>
      <c r="ECN1153" s="14"/>
      <c r="ECO1153" s="14"/>
      <c r="ECP1153" s="14"/>
      <c r="ECQ1153" s="14"/>
      <c r="ECR1153" s="14"/>
      <c r="ECS1153" s="14"/>
      <c r="ECT1153" s="14"/>
      <c r="ECU1153" s="14"/>
      <c r="ECV1153" s="14"/>
      <c r="ECW1153" s="14"/>
      <c r="ECX1153" s="14"/>
      <c r="ECY1153" s="14"/>
      <c r="ECZ1153" s="14"/>
      <c r="EDA1153" s="14"/>
      <c r="EDB1153" s="14"/>
      <c r="EDC1153" s="14"/>
      <c r="EDD1153" s="14"/>
      <c r="EDE1153" s="14"/>
      <c r="EDF1153" s="14"/>
      <c r="EDG1153" s="14"/>
      <c r="EDH1153" s="14"/>
      <c r="EDI1153" s="14"/>
      <c r="EDJ1153" s="14"/>
      <c r="EDK1153" s="14"/>
      <c r="EDL1153" s="14"/>
      <c r="EDM1153" s="14"/>
      <c r="EDN1153" s="14"/>
      <c r="EDO1153" s="14"/>
      <c r="EDP1153" s="14"/>
      <c r="EDQ1153" s="14"/>
      <c r="EDR1153" s="14"/>
      <c r="EDS1153" s="14"/>
      <c r="EDT1153" s="14"/>
      <c r="EDU1153" s="14"/>
      <c r="EDV1153" s="14"/>
      <c r="EDW1153" s="14"/>
      <c r="EDX1153" s="14"/>
      <c r="EDY1153" s="14"/>
      <c r="EDZ1153" s="14"/>
      <c r="EEA1153" s="14"/>
      <c r="EEB1153" s="14"/>
      <c r="EEC1153" s="14"/>
      <c r="EED1153" s="14"/>
      <c r="EEE1153" s="14"/>
      <c r="EEF1153" s="14"/>
      <c r="EEG1153" s="14"/>
      <c r="EEH1153" s="14"/>
      <c r="EEI1153" s="14"/>
      <c r="EEJ1153" s="14"/>
      <c r="EEK1153" s="14"/>
      <c r="EEL1153" s="14"/>
      <c r="EEM1153" s="14"/>
      <c r="EEN1153" s="14"/>
      <c r="EEO1153" s="14"/>
      <c r="EEP1153" s="14"/>
      <c r="EEQ1153" s="14"/>
      <c r="EER1153" s="14"/>
      <c r="EES1153" s="14"/>
      <c r="EET1153" s="14"/>
      <c r="EEU1153" s="14"/>
      <c r="EEV1153" s="14"/>
      <c r="EEW1153" s="14"/>
      <c r="EEX1153" s="14"/>
      <c r="EEY1153" s="14"/>
      <c r="EEZ1153" s="14"/>
      <c r="EFA1153" s="14"/>
      <c r="EFB1153" s="14"/>
      <c r="EFC1153" s="14"/>
      <c r="EFD1153" s="14"/>
      <c r="EFE1153" s="14"/>
      <c r="EFF1153" s="14"/>
      <c r="EFG1153" s="14"/>
      <c r="EFH1153" s="14"/>
      <c r="EFI1153" s="14"/>
      <c r="EFJ1153" s="14"/>
      <c r="EFK1153" s="14"/>
      <c r="EFL1153" s="14"/>
      <c r="EFM1153" s="14"/>
      <c r="EFN1153" s="14"/>
      <c r="EFO1153" s="14"/>
      <c r="EFP1153" s="14"/>
      <c r="EFQ1153" s="14"/>
      <c r="EFR1153" s="14"/>
      <c r="EFS1153" s="14"/>
      <c r="EFT1153" s="14"/>
      <c r="EFU1153" s="14"/>
      <c r="EFV1153" s="14"/>
      <c r="EFW1153" s="14"/>
      <c r="EFX1153" s="14"/>
      <c r="EFY1153" s="14"/>
      <c r="EFZ1153" s="14"/>
      <c r="EGA1153" s="14"/>
      <c r="EGB1153" s="14"/>
      <c r="EGC1153" s="14"/>
      <c r="EGD1153" s="14"/>
      <c r="EGE1153" s="14"/>
      <c r="EGF1153" s="14"/>
      <c r="EGG1153" s="14"/>
      <c r="EGH1153" s="14"/>
      <c r="EGI1153" s="14"/>
      <c r="EGJ1153" s="14"/>
      <c r="EGK1153" s="14"/>
      <c r="EGL1153" s="14"/>
      <c r="EGM1153" s="14"/>
      <c r="EGN1153" s="14"/>
      <c r="EGO1153" s="14"/>
      <c r="EGP1153" s="14"/>
      <c r="EGQ1153" s="14"/>
      <c r="EGR1153" s="14"/>
      <c r="EGS1153" s="14"/>
      <c r="EGT1153" s="14"/>
      <c r="EGU1153" s="14"/>
      <c r="EGV1153" s="14"/>
      <c r="EGW1153" s="14"/>
      <c r="EGX1153" s="14"/>
      <c r="EGY1153" s="14"/>
      <c r="EGZ1153" s="14"/>
      <c r="EHA1153" s="14"/>
      <c r="EHB1153" s="14"/>
      <c r="EHC1153" s="14"/>
      <c r="EHD1153" s="14"/>
      <c r="EHE1153" s="14"/>
      <c r="EHF1153" s="14"/>
      <c r="EHG1153" s="14"/>
      <c r="EHH1153" s="14"/>
      <c r="EHI1153" s="14"/>
      <c r="EHJ1153" s="14"/>
      <c r="EHK1153" s="14"/>
      <c r="EHL1153" s="14"/>
      <c r="EHM1153" s="14"/>
      <c r="EHN1153" s="14"/>
      <c r="EHO1153" s="14"/>
      <c r="EHP1153" s="14"/>
      <c r="EHQ1153" s="14"/>
      <c r="EHR1153" s="14"/>
      <c r="EHS1153" s="14"/>
      <c r="EHT1153" s="14"/>
      <c r="EHU1153" s="14"/>
      <c r="EHV1153" s="14"/>
      <c r="EHW1153" s="14"/>
      <c r="EHX1153" s="14"/>
      <c r="EHY1153" s="14"/>
      <c r="EHZ1153" s="14"/>
      <c r="EIA1153" s="14"/>
      <c r="EIB1153" s="14"/>
      <c r="EIC1153" s="14"/>
      <c r="EID1153" s="14"/>
      <c r="EIE1153" s="14"/>
      <c r="EIF1153" s="14"/>
      <c r="EIG1153" s="14"/>
      <c r="EIH1153" s="14"/>
      <c r="EII1153" s="14"/>
      <c r="EIJ1153" s="14"/>
      <c r="EIK1153" s="14"/>
      <c r="EIL1153" s="14"/>
      <c r="EIM1153" s="14"/>
      <c r="EIN1153" s="14"/>
      <c r="EIO1153" s="14"/>
      <c r="EIP1153" s="14"/>
      <c r="EIQ1153" s="14"/>
      <c r="EIR1153" s="14"/>
      <c r="EIS1153" s="14"/>
      <c r="EIT1153" s="14"/>
      <c r="EIU1153" s="14"/>
      <c r="EIV1153" s="14"/>
      <c r="EIW1153" s="14"/>
      <c r="EIX1153" s="14"/>
      <c r="EIY1153" s="14"/>
      <c r="EIZ1153" s="14"/>
      <c r="EJA1153" s="14"/>
      <c r="EJB1153" s="14"/>
      <c r="EJC1153" s="14"/>
      <c r="EJD1153" s="14"/>
      <c r="EJE1153" s="14"/>
      <c r="EJF1153" s="14"/>
      <c r="EJG1153" s="14"/>
      <c r="EJH1153" s="14"/>
      <c r="EJI1153" s="14"/>
      <c r="EJJ1153" s="14"/>
      <c r="EJK1153" s="14"/>
      <c r="EJL1153" s="14"/>
      <c r="EJM1153" s="14"/>
      <c r="EJN1153" s="14"/>
      <c r="EJO1153" s="14"/>
      <c r="EJP1153" s="14"/>
      <c r="EJQ1153" s="14"/>
      <c r="EJR1153" s="14"/>
      <c r="EJS1153" s="14"/>
      <c r="EJT1153" s="14"/>
      <c r="EJU1153" s="14"/>
      <c r="EJV1153" s="14"/>
      <c r="EJW1153" s="14"/>
      <c r="EJX1153" s="14"/>
      <c r="EJY1153" s="14"/>
      <c r="EJZ1153" s="14"/>
      <c r="EKA1153" s="14"/>
      <c r="EKB1153" s="14"/>
      <c r="EKC1153" s="14"/>
      <c r="EKD1153" s="14"/>
      <c r="EKE1153" s="14"/>
      <c r="EKF1153" s="14"/>
      <c r="EKG1153" s="14"/>
      <c r="EKH1153" s="14"/>
      <c r="EKI1153" s="14"/>
      <c r="EKJ1153" s="14"/>
      <c r="EKK1153" s="14"/>
      <c r="EKL1153" s="14"/>
      <c r="EKM1153" s="14"/>
      <c r="EKN1153" s="14"/>
      <c r="EKO1153" s="14"/>
      <c r="EKP1153" s="14"/>
      <c r="EKQ1153" s="14"/>
      <c r="EKR1153" s="14"/>
      <c r="EKS1153" s="14"/>
      <c r="EKT1153" s="14"/>
      <c r="EKU1153" s="14"/>
      <c r="EKV1153" s="14"/>
      <c r="EKW1153" s="14"/>
      <c r="EKX1153" s="14"/>
      <c r="EKY1153" s="14"/>
      <c r="EKZ1153" s="14"/>
      <c r="ELA1153" s="14"/>
      <c r="ELB1153" s="14"/>
      <c r="ELC1153" s="14"/>
      <c r="ELD1153" s="14"/>
      <c r="ELE1153" s="14"/>
      <c r="ELF1153" s="14"/>
      <c r="ELG1153" s="14"/>
      <c r="ELH1153" s="14"/>
      <c r="ELI1153" s="14"/>
      <c r="ELJ1153" s="14"/>
      <c r="ELK1153" s="14"/>
      <c r="ELL1153" s="14"/>
      <c r="ELM1153" s="14"/>
      <c r="ELN1153" s="14"/>
      <c r="ELO1153" s="14"/>
      <c r="ELP1153" s="14"/>
      <c r="ELQ1153" s="14"/>
      <c r="ELR1153" s="14"/>
      <c r="ELS1153" s="14"/>
      <c r="ELT1153" s="14"/>
      <c r="ELU1153" s="14"/>
      <c r="ELV1153" s="14"/>
      <c r="ELW1153" s="14"/>
      <c r="ELX1153" s="14"/>
      <c r="ELY1153" s="14"/>
      <c r="ELZ1153" s="14"/>
      <c r="EMA1153" s="14"/>
      <c r="EMB1153" s="14"/>
      <c r="EMC1153" s="14"/>
      <c r="EMD1153" s="14"/>
      <c r="EME1153" s="14"/>
      <c r="EMF1153" s="14"/>
      <c r="EMG1153" s="14"/>
      <c r="EMH1153" s="14"/>
      <c r="EMI1153" s="14"/>
      <c r="EMJ1153" s="14"/>
      <c r="EMK1153" s="14"/>
      <c r="EML1153" s="14"/>
      <c r="EMM1153" s="14"/>
      <c r="EMN1153" s="14"/>
      <c r="EMO1153" s="14"/>
      <c r="EMP1153" s="14"/>
      <c r="EMQ1153" s="14"/>
      <c r="EMR1153" s="14"/>
      <c r="EMS1153" s="14"/>
      <c r="EMT1153" s="14"/>
      <c r="EMU1153" s="14"/>
      <c r="EMV1153" s="14"/>
      <c r="EMW1153" s="14"/>
      <c r="EMX1153" s="14"/>
      <c r="EMY1153" s="14"/>
      <c r="EMZ1153" s="14"/>
      <c r="ENA1153" s="14"/>
      <c r="ENB1153" s="14"/>
      <c r="ENC1153" s="14"/>
      <c r="END1153" s="14"/>
      <c r="ENE1153" s="14"/>
      <c r="ENF1153" s="14"/>
      <c r="ENG1153" s="14"/>
      <c r="ENH1153" s="14"/>
      <c r="ENI1153" s="14"/>
      <c r="ENJ1153" s="14"/>
      <c r="ENK1153" s="14"/>
      <c r="ENL1153" s="14"/>
      <c r="ENM1153" s="14"/>
      <c r="ENN1153" s="14"/>
      <c r="ENO1153" s="14"/>
      <c r="ENP1153" s="14"/>
      <c r="ENQ1153" s="14"/>
      <c r="ENR1153" s="14"/>
      <c r="ENS1153" s="14"/>
      <c r="ENT1153" s="14"/>
      <c r="ENU1153" s="14"/>
      <c r="ENV1153" s="14"/>
      <c r="ENW1153" s="14"/>
      <c r="ENX1153" s="14"/>
      <c r="ENY1153" s="14"/>
      <c r="ENZ1153" s="14"/>
      <c r="EOA1153" s="14"/>
      <c r="EOB1153" s="14"/>
      <c r="EOC1153" s="14"/>
      <c r="EOD1153" s="14"/>
      <c r="EOE1153" s="14"/>
      <c r="EOF1153" s="14"/>
      <c r="EOG1153" s="14"/>
      <c r="EOH1153" s="14"/>
      <c r="EOI1153" s="14"/>
      <c r="EOJ1153" s="14"/>
      <c r="EOK1153" s="14"/>
      <c r="EOL1153" s="14"/>
      <c r="EOM1153" s="14"/>
      <c r="EON1153" s="14"/>
      <c r="EOO1153" s="14"/>
      <c r="EOP1153" s="14"/>
      <c r="EOQ1153" s="14"/>
      <c r="EOR1153" s="14"/>
      <c r="EOS1153" s="14"/>
      <c r="EOT1153" s="14"/>
      <c r="EOU1153" s="14"/>
      <c r="EOV1153" s="14"/>
      <c r="EOW1153" s="14"/>
      <c r="EOX1153" s="14"/>
      <c r="EOY1153" s="14"/>
      <c r="EOZ1153" s="14"/>
      <c r="EPA1153" s="14"/>
      <c r="EPB1153" s="14"/>
      <c r="EPC1153" s="14"/>
      <c r="EPD1153" s="14"/>
      <c r="EPE1153" s="14"/>
      <c r="EPF1153" s="14"/>
      <c r="EPG1153" s="14"/>
      <c r="EPH1153" s="14"/>
      <c r="EPI1153" s="14"/>
      <c r="EPJ1153" s="14"/>
      <c r="EPK1153" s="14"/>
      <c r="EPL1153" s="14"/>
      <c r="EPM1153" s="14"/>
      <c r="EPN1153" s="14"/>
      <c r="EPO1153" s="14"/>
      <c r="EPP1153" s="14"/>
      <c r="EPQ1153" s="14"/>
      <c r="EPR1153" s="14"/>
      <c r="EPS1153" s="14"/>
      <c r="EPT1153" s="14"/>
      <c r="EPU1153" s="14"/>
      <c r="EPV1153" s="14"/>
      <c r="EPW1153" s="14"/>
      <c r="EPX1153" s="14"/>
      <c r="EPY1153" s="14"/>
      <c r="EPZ1153" s="14"/>
      <c r="EQA1153" s="14"/>
      <c r="EQB1153" s="14"/>
      <c r="EQC1153" s="14"/>
      <c r="EQD1153" s="14"/>
      <c r="EQE1153" s="14"/>
      <c r="EQF1153" s="14"/>
      <c r="EQG1153" s="14"/>
      <c r="EQH1153" s="14"/>
      <c r="EQI1153" s="14"/>
      <c r="EQJ1153" s="14"/>
      <c r="EQK1153" s="14"/>
      <c r="EQL1153" s="14"/>
      <c r="EQM1153" s="14"/>
      <c r="EQN1153" s="14"/>
      <c r="EQO1153" s="14"/>
      <c r="EQP1153" s="14"/>
      <c r="EQQ1153" s="14"/>
      <c r="EQR1153" s="14"/>
      <c r="EQS1153" s="14"/>
      <c r="EQT1153" s="14"/>
      <c r="EQU1153" s="14"/>
      <c r="EQV1153" s="14"/>
      <c r="EQW1153" s="14"/>
      <c r="EQX1153" s="14"/>
      <c r="EQY1153" s="14"/>
      <c r="EQZ1153" s="14"/>
      <c r="ERA1153" s="14"/>
      <c r="ERB1153" s="14"/>
      <c r="ERC1153" s="14"/>
      <c r="ERD1153" s="14"/>
      <c r="ERE1153" s="14"/>
      <c r="ERF1153" s="14"/>
      <c r="ERG1153" s="14"/>
      <c r="ERH1153" s="14"/>
      <c r="ERI1153" s="14"/>
      <c r="ERJ1153" s="14"/>
      <c r="ERK1153" s="14"/>
      <c r="ERL1153" s="14"/>
      <c r="ERM1153" s="14"/>
      <c r="ERN1153" s="14"/>
      <c r="ERO1153" s="14"/>
      <c r="ERP1153" s="14"/>
      <c r="ERQ1153" s="14"/>
      <c r="ERR1153" s="14"/>
      <c r="ERS1153" s="14"/>
      <c r="ERT1153" s="14"/>
      <c r="ERU1153" s="14"/>
      <c r="ERV1153" s="14"/>
      <c r="ERW1153" s="14"/>
      <c r="ERX1153" s="14"/>
      <c r="ERY1153" s="14"/>
      <c r="ERZ1153" s="14"/>
      <c r="ESA1153" s="14"/>
      <c r="ESB1153" s="14"/>
      <c r="ESC1153" s="14"/>
      <c r="ESD1153" s="14"/>
      <c r="ESE1153" s="14"/>
      <c r="ESF1153" s="14"/>
      <c r="ESG1153" s="14"/>
      <c r="ESH1153" s="14"/>
      <c r="ESI1153" s="14"/>
      <c r="ESJ1153" s="14"/>
      <c r="ESK1153" s="14"/>
      <c r="ESL1153" s="14"/>
      <c r="ESM1153" s="14"/>
      <c r="ESN1153" s="14"/>
      <c r="ESO1153" s="14"/>
      <c r="ESP1153" s="14"/>
      <c r="ESQ1153" s="14"/>
      <c r="ESR1153" s="14"/>
      <c r="ESS1153" s="14"/>
      <c r="EST1153" s="14"/>
      <c r="ESU1153" s="14"/>
      <c r="ESV1153" s="14"/>
      <c r="ESW1153" s="14"/>
      <c r="ESX1153" s="14"/>
      <c r="ESY1153" s="14"/>
      <c r="ESZ1153" s="14"/>
      <c r="ETA1153" s="14"/>
      <c r="ETB1153" s="14"/>
      <c r="ETC1153" s="14"/>
      <c r="ETD1153" s="14"/>
      <c r="ETE1153" s="14"/>
      <c r="ETF1153" s="14"/>
      <c r="ETG1153" s="14"/>
      <c r="ETH1153" s="14"/>
      <c r="ETI1153" s="14"/>
      <c r="ETJ1153" s="14"/>
      <c r="ETK1153" s="14"/>
      <c r="ETL1153" s="14"/>
      <c r="ETM1153" s="14"/>
      <c r="ETN1153" s="14"/>
      <c r="ETO1153" s="14"/>
      <c r="ETP1153" s="14"/>
      <c r="ETQ1153" s="14"/>
      <c r="ETR1153" s="14"/>
      <c r="ETS1153" s="14"/>
      <c r="ETT1153" s="14"/>
      <c r="ETU1153" s="14"/>
      <c r="ETV1153" s="14"/>
      <c r="ETW1153" s="14"/>
      <c r="ETX1153" s="14"/>
      <c r="ETY1153" s="14"/>
      <c r="ETZ1153" s="14"/>
      <c r="EUA1153" s="14"/>
      <c r="EUB1153" s="14"/>
      <c r="EUC1153" s="14"/>
      <c r="EUD1153" s="14"/>
      <c r="EUE1153" s="14"/>
      <c r="EUF1153" s="14"/>
      <c r="EUG1153" s="14"/>
      <c r="EUH1153" s="14"/>
      <c r="EUI1153" s="14"/>
      <c r="EUJ1153" s="14"/>
      <c r="EUK1153" s="14"/>
      <c r="EUL1153" s="14"/>
      <c r="EUM1153" s="14"/>
      <c r="EUN1153" s="14"/>
      <c r="EUO1153" s="14"/>
      <c r="EUP1153" s="14"/>
      <c r="EUQ1153" s="14"/>
      <c r="EUR1153" s="14"/>
      <c r="EUS1153" s="14"/>
      <c r="EUT1153" s="14"/>
      <c r="EUU1153" s="14"/>
      <c r="EUV1153" s="14"/>
      <c r="EUW1153" s="14"/>
      <c r="EUX1153" s="14"/>
      <c r="EUY1153" s="14"/>
      <c r="EUZ1153" s="14"/>
      <c r="EVA1153" s="14"/>
      <c r="EVB1153" s="14"/>
      <c r="EVC1153" s="14"/>
      <c r="EVD1153" s="14"/>
      <c r="EVE1153" s="14"/>
      <c r="EVF1153" s="14"/>
      <c r="EVG1153" s="14"/>
      <c r="EVH1153" s="14"/>
      <c r="EVI1153" s="14"/>
      <c r="EVJ1153" s="14"/>
      <c r="EVK1153" s="14"/>
      <c r="EVL1153" s="14"/>
      <c r="EVM1153" s="14"/>
      <c r="EVN1153" s="14"/>
      <c r="EVO1153" s="14"/>
      <c r="EVP1153" s="14"/>
      <c r="EVQ1153" s="14"/>
      <c r="EVR1153" s="14"/>
      <c r="EVS1153" s="14"/>
      <c r="EVT1153" s="14"/>
      <c r="EVU1153" s="14"/>
      <c r="EVV1153" s="14"/>
      <c r="EVW1153" s="14"/>
      <c r="EVX1153" s="14"/>
      <c r="EVY1153" s="14"/>
      <c r="EVZ1153" s="14"/>
      <c r="EWA1153" s="14"/>
      <c r="EWB1153" s="14"/>
      <c r="EWC1153" s="14"/>
      <c r="EWD1153" s="14"/>
      <c r="EWE1153" s="14"/>
      <c r="EWF1153" s="14"/>
      <c r="EWG1153" s="14"/>
      <c r="EWH1153" s="14"/>
      <c r="EWI1153" s="14"/>
      <c r="EWJ1153" s="14"/>
      <c r="EWK1153" s="14"/>
      <c r="EWL1153" s="14"/>
      <c r="EWM1153" s="14"/>
      <c r="EWN1153" s="14"/>
      <c r="EWO1153" s="14"/>
      <c r="EWP1153" s="14"/>
      <c r="EWQ1153" s="14"/>
      <c r="EWR1153" s="14"/>
      <c r="EWS1153" s="14"/>
      <c r="EWT1153" s="14"/>
      <c r="EWU1153" s="14"/>
      <c r="EWV1153" s="14"/>
      <c r="EWW1153" s="14"/>
      <c r="EWX1153" s="14"/>
      <c r="EWY1153" s="14"/>
      <c r="EWZ1153" s="14"/>
      <c r="EXA1153" s="14"/>
      <c r="EXB1153" s="14"/>
      <c r="EXC1153" s="14"/>
      <c r="EXD1153" s="14"/>
      <c r="EXE1153" s="14"/>
      <c r="EXF1153" s="14"/>
      <c r="EXG1153" s="14"/>
      <c r="EXH1153" s="14"/>
      <c r="EXI1153" s="14"/>
      <c r="EXJ1153" s="14"/>
      <c r="EXK1153" s="14"/>
      <c r="EXL1153" s="14"/>
      <c r="EXM1153" s="14"/>
      <c r="EXN1153" s="14"/>
      <c r="EXO1153" s="14"/>
      <c r="EXP1153" s="14"/>
      <c r="EXQ1153" s="14"/>
      <c r="EXR1153" s="14"/>
      <c r="EXS1153" s="14"/>
      <c r="EXT1153" s="14"/>
      <c r="EXU1153" s="14"/>
      <c r="EXV1153" s="14"/>
      <c r="EXW1153" s="14"/>
      <c r="EXX1153" s="14"/>
      <c r="EXY1153" s="14"/>
      <c r="EXZ1153" s="14"/>
      <c r="EYA1153" s="14"/>
      <c r="EYB1153" s="14"/>
      <c r="EYC1153" s="14"/>
      <c r="EYD1153" s="14"/>
      <c r="EYE1153" s="14"/>
      <c r="EYF1153" s="14"/>
      <c r="EYG1153" s="14"/>
      <c r="EYH1153" s="14"/>
      <c r="EYI1153" s="14"/>
      <c r="EYJ1153" s="14"/>
      <c r="EYK1153" s="14"/>
      <c r="EYL1153" s="14"/>
      <c r="EYM1153" s="14"/>
      <c r="EYN1153" s="14"/>
      <c r="EYO1153" s="14"/>
      <c r="EYP1153" s="14"/>
      <c r="EYQ1153" s="14"/>
      <c r="EYR1153" s="14"/>
      <c r="EYS1153" s="14"/>
      <c r="EYT1153" s="14"/>
      <c r="EYU1153" s="14"/>
      <c r="EYV1153" s="14"/>
      <c r="EYW1153" s="14"/>
      <c r="EYX1153" s="14"/>
      <c r="EYY1153" s="14"/>
      <c r="EYZ1153" s="14"/>
      <c r="EZA1153" s="14"/>
      <c r="EZB1153" s="14"/>
      <c r="EZC1153" s="14"/>
      <c r="EZD1153" s="14"/>
      <c r="EZE1153" s="14"/>
      <c r="EZF1153" s="14"/>
      <c r="EZG1153" s="14"/>
      <c r="EZH1153" s="14"/>
      <c r="EZI1153" s="14"/>
      <c r="EZJ1153" s="14"/>
      <c r="EZK1153" s="14"/>
      <c r="EZL1153" s="14"/>
      <c r="EZM1153" s="14"/>
      <c r="EZN1153" s="14"/>
      <c r="EZO1153" s="14"/>
      <c r="EZP1153" s="14"/>
      <c r="EZQ1153" s="14"/>
      <c r="EZR1153" s="14"/>
      <c r="EZS1153" s="14"/>
      <c r="EZT1153" s="14"/>
      <c r="EZU1153" s="14"/>
      <c r="EZV1153" s="14"/>
      <c r="EZW1153" s="14"/>
      <c r="EZX1153" s="14"/>
      <c r="EZY1153" s="14"/>
      <c r="EZZ1153" s="14"/>
      <c r="FAA1153" s="14"/>
      <c r="FAB1153" s="14"/>
      <c r="FAC1153" s="14"/>
      <c r="FAD1153" s="14"/>
      <c r="FAE1153" s="14"/>
      <c r="FAF1153" s="14"/>
      <c r="FAG1153" s="14"/>
      <c r="FAH1153" s="14"/>
      <c r="FAI1153" s="14"/>
      <c r="FAJ1153" s="14"/>
      <c r="FAK1153" s="14"/>
      <c r="FAL1153" s="14"/>
      <c r="FAM1153" s="14"/>
      <c r="FAN1153" s="14"/>
      <c r="FAO1153" s="14"/>
      <c r="FAP1153" s="14"/>
      <c r="FAQ1153" s="14"/>
      <c r="FAR1153" s="14"/>
      <c r="FAS1153" s="14"/>
      <c r="FAT1153" s="14"/>
      <c r="FAU1153" s="14"/>
      <c r="FAV1153" s="14"/>
      <c r="FAW1153" s="14"/>
      <c r="FAX1153" s="14"/>
      <c r="FAY1153" s="14"/>
      <c r="FAZ1153" s="14"/>
      <c r="FBA1153" s="14"/>
      <c r="FBB1153" s="14"/>
      <c r="FBC1153" s="14"/>
      <c r="FBD1153" s="14"/>
      <c r="FBE1153" s="14"/>
      <c r="FBF1153" s="14"/>
      <c r="FBG1153" s="14"/>
      <c r="FBH1153" s="14"/>
      <c r="FBI1153" s="14"/>
      <c r="FBJ1153" s="14"/>
      <c r="FBK1153" s="14"/>
      <c r="FBL1153" s="14"/>
      <c r="FBM1153" s="14"/>
      <c r="FBN1153" s="14"/>
      <c r="FBO1153" s="14"/>
      <c r="FBP1153" s="14"/>
      <c r="FBQ1153" s="14"/>
      <c r="FBR1153" s="14"/>
      <c r="FBS1153" s="14"/>
      <c r="FBT1153" s="14"/>
      <c r="FBU1153" s="14"/>
      <c r="FBV1153" s="14"/>
      <c r="FBW1153" s="14"/>
      <c r="FBX1153" s="14"/>
      <c r="FBY1153" s="14"/>
      <c r="FBZ1153" s="14"/>
      <c r="FCA1153" s="14"/>
      <c r="FCB1153" s="14"/>
      <c r="FCC1153" s="14"/>
      <c r="FCD1153" s="14"/>
      <c r="FCE1153" s="14"/>
      <c r="FCF1153" s="14"/>
      <c r="FCG1153" s="14"/>
      <c r="FCH1153" s="14"/>
      <c r="FCI1153" s="14"/>
      <c r="FCJ1153" s="14"/>
      <c r="FCK1153" s="14"/>
      <c r="FCL1153" s="14"/>
      <c r="FCM1153" s="14"/>
      <c r="FCN1153" s="14"/>
      <c r="FCO1153" s="14"/>
      <c r="FCP1153" s="14"/>
      <c r="FCQ1153" s="14"/>
      <c r="FCR1153" s="14"/>
      <c r="FCS1153" s="14"/>
      <c r="FCT1153" s="14"/>
      <c r="FCU1153" s="14"/>
      <c r="FCV1153" s="14"/>
      <c r="FCW1153" s="14"/>
      <c r="FCX1153" s="14"/>
      <c r="FCY1153" s="14"/>
      <c r="FCZ1153" s="14"/>
      <c r="FDA1153" s="14"/>
      <c r="FDB1153" s="14"/>
      <c r="FDC1153" s="14"/>
      <c r="FDD1153" s="14"/>
      <c r="FDE1153" s="14"/>
      <c r="FDF1153" s="14"/>
      <c r="FDG1153" s="14"/>
      <c r="FDH1153" s="14"/>
      <c r="FDI1153" s="14"/>
      <c r="FDJ1153" s="14"/>
      <c r="FDK1153" s="14"/>
      <c r="FDL1153" s="14"/>
      <c r="FDM1153" s="14"/>
      <c r="FDN1153" s="14"/>
      <c r="FDO1153" s="14"/>
      <c r="FDP1153" s="14"/>
      <c r="FDQ1153" s="14"/>
      <c r="FDR1153" s="14"/>
      <c r="FDS1153" s="14"/>
      <c r="FDT1153" s="14"/>
      <c r="FDU1153" s="14"/>
      <c r="FDV1153" s="14"/>
      <c r="FDW1153" s="14"/>
      <c r="FDX1153" s="14"/>
      <c r="FDY1153" s="14"/>
      <c r="FDZ1153" s="14"/>
      <c r="FEA1153" s="14"/>
      <c r="FEB1153" s="14"/>
      <c r="FEC1153" s="14"/>
      <c r="FED1153" s="14"/>
      <c r="FEE1153" s="14"/>
      <c r="FEF1153" s="14"/>
      <c r="FEG1153" s="14"/>
      <c r="FEH1153" s="14"/>
      <c r="FEI1153" s="14"/>
      <c r="FEJ1153" s="14"/>
      <c r="FEK1153" s="14"/>
      <c r="FEL1153" s="14"/>
      <c r="FEM1153" s="14"/>
      <c r="FEN1153" s="14"/>
      <c r="FEO1153" s="14"/>
      <c r="FEP1153" s="14"/>
      <c r="FEQ1153" s="14"/>
      <c r="FER1153" s="14"/>
      <c r="FES1153" s="14"/>
      <c r="FET1153" s="14"/>
      <c r="FEU1153" s="14"/>
      <c r="FEV1153" s="14"/>
      <c r="FEW1153" s="14"/>
      <c r="FEX1153" s="14"/>
      <c r="FEY1153" s="14"/>
      <c r="FEZ1153" s="14"/>
      <c r="FFA1153" s="14"/>
      <c r="FFB1153" s="14"/>
      <c r="FFC1153" s="14"/>
      <c r="FFD1153" s="14"/>
      <c r="FFE1153" s="14"/>
      <c r="FFF1153" s="14"/>
      <c r="FFG1153" s="14"/>
      <c r="FFH1153" s="14"/>
      <c r="FFI1153" s="14"/>
      <c r="FFJ1153" s="14"/>
      <c r="FFK1153" s="14"/>
      <c r="FFL1153" s="14"/>
      <c r="FFM1153" s="14"/>
      <c r="FFN1153" s="14"/>
      <c r="FFO1153" s="14"/>
      <c r="FFP1153" s="14"/>
      <c r="FFQ1153" s="14"/>
      <c r="FFR1153" s="14"/>
      <c r="FFS1153" s="14"/>
      <c r="FFT1153" s="14"/>
      <c r="FFU1153" s="14"/>
      <c r="FFV1153" s="14"/>
      <c r="FFW1153" s="14"/>
      <c r="FFX1153" s="14"/>
      <c r="FFY1153" s="14"/>
      <c r="FFZ1153" s="14"/>
      <c r="FGA1153" s="14"/>
      <c r="FGB1153" s="14"/>
      <c r="FGC1153" s="14"/>
      <c r="FGD1153" s="14"/>
      <c r="FGE1153" s="14"/>
      <c r="FGF1153" s="14"/>
      <c r="FGG1153" s="14"/>
      <c r="FGH1153" s="14"/>
      <c r="FGI1153" s="14"/>
      <c r="FGJ1153" s="14"/>
      <c r="FGK1153" s="14"/>
      <c r="FGL1153" s="14"/>
      <c r="FGM1153" s="14"/>
      <c r="FGN1153" s="14"/>
      <c r="FGO1153" s="14"/>
      <c r="FGP1153" s="14"/>
      <c r="FGQ1153" s="14"/>
      <c r="FGR1153" s="14"/>
      <c r="FGS1153" s="14"/>
      <c r="FGT1153" s="14"/>
      <c r="FGU1153" s="14"/>
      <c r="FGV1153" s="14"/>
      <c r="FGW1153" s="14"/>
      <c r="FGX1153" s="14"/>
      <c r="FGY1153" s="14"/>
      <c r="FGZ1153" s="14"/>
      <c r="FHA1153" s="14"/>
      <c r="FHB1153" s="14"/>
      <c r="FHC1153" s="14"/>
      <c r="FHD1153" s="14"/>
      <c r="FHE1153" s="14"/>
      <c r="FHF1153" s="14"/>
      <c r="FHG1153" s="14"/>
      <c r="FHH1153" s="14"/>
      <c r="FHI1153" s="14"/>
      <c r="FHJ1153" s="14"/>
      <c r="FHK1153" s="14"/>
      <c r="FHL1153" s="14"/>
      <c r="FHM1153" s="14"/>
      <c r="FHN1153" s="14"/>
      <c r="FHO1153" s="14"/>
      <c r="FHP1153" s="14"/>
      <c r="FHQ1153" s="14"/>
      <c r="FHR1153" s="14"/>
      <c r="FHS1153" s="14"/>
      <c r="FHT1153" s="14"/>
      <c r="FHU1153" s="14"/>
      <c r="FHV1153" s="14"/>
      <c r="FHW1153" s="14"/>
      <c r="FHX1153" s="14"/>
      <c r="FHY1153" s="14"/>
      <c r="FHZ1153" s="14"/>
      <c r="FIA1153" s="14"/>
      <c r="FIB1153" s="14"/>
      <c r="FIC1153" s="14"/>
      <c r="FID1153" s="14"/>
      <c r="FIE1153" s="14"/>
      <c r="FIF1153" s="14"/>
      <c r="FIG1153" s="14"/>
      <c r="FIH1153" s="14"/>
      <c r="FII1153" s="14"/>
      <c r="FIJ1153" s="14"/>
      <c r="FIK1153" s="14"/>
      <c r="FIL1153" s="14"/>
      <c r="FIM1153" s="14"/>
      <c r="FIN1153" s="14"/>
      <c r="FIO1153" s="14"/>
      <c r="FIP1153" s="14"/>
      <c r="FIQ1153" s="14"/>
      <c r="FIR1153" s="14"/>
      <c r="FIS1153" s="14"/>
      <c r="FIT1153" s="14"/>
      <c r="FIU1153" s="14"/>
      <c r="FIV1153" s="14"/>
      <c r="FIW1153" s="14"/>
      <c r="FIX1153" s="14"/>
      <c r="FIY1153" s="14"/>
      <c r="FIZ1153" s="14"/>
      <c r="FJA1153" s="14"/>
      <c r="FJB1153" s="14"/>
      <c r="FJC1153" s="14"/>
      <c r="FJD1153" s="14"/>
      <c r="FJE1153" s="14"/>
      <c r="FJF1153" s="14"/>
      <c r="FJG1153" s="14"/>
      <c r="FJH1153" s="14"/>
      <c r="FJI1153" s="14"/>
      <c r="FJJ1153" s="14"/>
      <c r="FJK1153" s="14"/>
      <c r="FJL1153" s="14"/>
      <c r="FJM1153" s="14"/>
      <c r="FJN1153" s="14"/>
      <c r="FJO1153" s="14"/>
      <c r="FJP1153" s="14"/>
      <c r="FJQ1153" s="14"/>
      <c r="FJR1153" s="14"/>
      <c r="FJS1153" s="14"/>
      <c r="FJT1153" s="14"/>
      <c r="FJU1153" s="14"/>
      <c r="FJV1153" s="14"/>
      <c r="FJW1153" s="14"/>
      <c r="FJX1153" s="14"/>
      <c r="FJY1153" s="14"/>
      <c r="FJZ1153" s="14"/>
      <c r="FKA1153" s="14"/>
      <c r="FKB1153" s="14"/>
      <c r="FKC1153" s="14"/>
      <c r="FKD1153" s="14"/>
      <c r="FKE1153" s="14"/>
      <c r="FKF1153" s="14"/>
      <c r="FKG1153" s="14"/>
      <c r="FKH1153" s="14"/>
      <c r="FKI1153" s="14"/>
      <c r="FKJ1153" s="14"/>
      <c r="FKK1153" s="14"/>
      <c r="FKL1153" s="14"/>
      <c r="FKM1153" s="14"/>
      <c r="FKN1153" s="14"/>
      <c r="FKO1153" s="14"/>
      <c r="FKP1153" s="14"/>
      <c r="FKQ1153" s="14"/>
      <c r="FKR1153" s="14"/>
      <c r="FKS1153" s="14"/>
      <c r="FKT1153" s="14"/>
      <c r="FKU1153" s="14"/>
      <c r="FKV1153" s="14"/>
      <c r="FKW1153" s="14"/>
      <c r="FKX1153" s="14"/>
      <c r="FKY1153" s="14"/>
      <c r="FKZ1153" s="14"/>
      <c r="FLA1153" s="14"/>
      <c r="FLB1153" s="14"/>
      <c r="FLC1153" s="14"/>
      <c r="FLD1153" s="14"/>
      <c r="FLE1153" s="14"/>
      <c r="FLF1153" s="14"/>
      <c r="FLG1153" s="14"/>
      <c r="FLH1153" s="14"/>
      <c r="FLI1153" s="14"/>
      <c r="FLJ1153" s="14"/>
      <c r="FLK1153" s="14"/>
      <c r="FLL1153" s="14"/>
      <c r="FLM1153" s="14"/>
      <c r="FLN1153" s="14"/>
      <c r="FLO1153" s="14"/>
      <c r="FLP1153" s="14"/>
      <c r="FLQ1153" s="14"/>
      <c r="FLR1153" s="14"/>
      <c r="FLS1153" s="14"/>
      <c r="FLT1153" s="14"/>
      <c r="FLU1153" s="14"/>
      <c r="FLV1153" s="14"/>
      <c r="FLW1153" s="14"/>
      <c r="FLX1153" s="14"/>
      <c r="FLY1153" s="14"/>
      <c r="FLZ1153" s="14"/>
      <c r="FMA1153" s="14"/>
      <c r="FMB1153" s="14"/>
      <c r="FMC1153" s="14"/>
      <c r="FMD1153" s="14"/>
      <c r="FME1153" s="14"/>
      <c r="FMF1153" s="14"/>
      <c r="FMG1153" s="14"/>
      <c r="FMH1153" s="14"/>
      <c r="FMI1153" s="14"/>
      <c r="FMJ1153" s="14"/>
      <c r="FMK1153" s="14"/>
      <c r="FML1153" s="14"/>
      <c r="FMM1153" s="14"/>
      <c r="FMN1153" s="14"/>
      <c r="FMO1153" s="14"/>
      <c r="FMP1153" s="14"/>
      <c r="FMQ1153" s="14"/>
      <c r="FMR1153" s="14"/>
      <c r="FMS1153" s="14"/>
      <c r="FMT1153" s="14"/>
      <c r="FMU1153" s="14"/>
      <c r="FMV1153" s="14"/>
      <c r="FMW1153" s="14"/>
      <c r="FMX1153" s="14"/>
      <c r="FMY1153" s="14"/>
      <c r="FMZ1153" s="14"/>
      <c r="FNA1153" s="14"/>
      <c r="FNB1153" s="14"/>
      <c r="FNC1153" s="14"/>
      <c r="FND1153" s="14"/>
      <c r="FNE1153" s="14"/>
      <c r="FNF1153" s="14"/>
      <c r="FNG1153" s="14"/>
      <c r="FNH1153" s="14"/>
      <c r="FNI1153" s="14"/>
      <c r="FNJ1153" s="14"/>
      <c r="FNK1153" s="14"/>
      <c r="FNL1153" s="14"/>
      <c r="FNM1153" s="14"/>
      <c r="FNN1153" s="14"/>
      <c r="FNO1153" s="14"/>
      <c r="FNP1153" s="14"/>
      <c r="FNQ1153" s="14"/>
      <c r="FNR1153" s="14"/>
      <c r="FNS1153" s="14"/>
      <c r="FNT1153" s="14"/>
      <c r="FNU1153" s="14"/>
      <c r="FNV1153" s="14"/>
      <c r="FNW1153" s="14"/>
      <c r="FNX1153" s="14"/>
      <c r="FNY1153" s="14"/>
      <c r="FNZ1153" s="14"/>
      <c r="FOA1153" s="14"/>
      <c r="FOB1153" s="14"/>
      <c r="FOC1153" s="14"/>
      <c r="FOD1153" s="14"/>
      <c r="FOE1153" s="14"/>
      <c r="FOF1153" s="14"/>
      <c r="FOG1153" s="14"/>
      <c r="FOH1153" s="14"/>
      <c r="FOI1153" s="14"/>
      <c r="FOJ1153" s="14"/>
      <c r="FOK1153" s="14"/>
      <c r="FOL1153" s="14"/>
      <c r="FOM1153" s="14"/>
      <c r="FON1153" s="14"/>
      <c r="FOO1153" s="14"/>
      <c r="FOP1153" s="14"/>
      <c r="FOQ1153" s="14"/>
      <c r="FOR1153" s="14"/>
      <c r="FOS1153" s="14"/>
      <c r="FOT1153" s="14"/>
      <c r="FOU1153" s="14"/>
      <c r="FOV1153" s="14"/>
      <c r="FOW1153" s="14"/>
      <c r="FOX1153" s="14"/>
      <c r="FOY1153" s="14"/>
      <c r="FOZ1153" s="14"/>
      <c r="FPA1153" s="14"/>
      <c r="FPB1153" s="14"/>
      <c r="FPC1153" s="14"/>
      <c r="FPD1153" s="14"/>
      <c r="FPE1153" s="14"/>
      <c r="FPF1153" s="14"/>
      <c r="FPG1153" s="14"/>
      <c r="FPH1153" s="14"/>
      <c r="FPI1153" s="14"/>
      <c r="FPJ1153" s="14"/>
      <c r="FPK1153" s="14"/>
      <c r="FPL1153" s="14"/>
      <c r="FPM1153" s="14"/>
      <c r="FPN1153" s="14"/>
      <c r="FPO1153" s="14"/>
      <c r="FPP1153" s="14"/>
      <c r="FPQ1153" s="14"/>
      <c r="FPR1153" s="14"/>
      <c r="FPS1153" s="14"/>
      <c r="FPT1153" s="14"/>
      <c r="FPU1153" s="14"/>
      <c r="FPV1153" s="14"/>
      <c r="FPW1153" s="14"/>
      <c r="FPX1153" s="14"/>
      <c r="FPY1153" s="14"/>
      <c r="FPZ1153" s="14"/>
      <c r="FQA1153" s="14"/>
      <c r="FQB1153" s="14"/>
      <c r="FQC1153" s="14"/>
      <c r="FQD1153" s="14"/>
      <c r="FQE1153" s="14"/>
      <c r="FQF1153" s="14"/>
      <c r="FQG1153" s="14"/>
      <c r="FQH1153" s="14"/>
      <c r="FQI1153" s="14"/>
      <c r="FQJ1153" s="14"/>
      <c r="FQK1153" s="14"/>
      <c r="FQL1153" s="14"/>
      <c r="FQM1153" s="14"/>
      <c r="FQN1153" s="14"/>
      <c r="FQO1153" s="14"/>
      <c r="FQP1153" s="14"/>
      <c r="FQQ1153" s="14"/>
      <c r="FQR1153" s="14"/>
      <c r="FQS1153" s="14"/>
      <c r="FQT1153" s="14"/>
      <c r="FQU1153" s="14"/>
      <c r="FQV1153" s="14"/>
      <c r="FQW1153" s="14"/>
      <c r="FQX1153" s="14"/>
      <c r="FQY1153" s="14"/>
      <c r="FQZ1153" s="14"/>
      <c r="FRA1153" s="14"/>
      <c r="FRB1153" s="14"/>
      <c r="FRC1153" s="14"/>
      <c r="FRD1153" s="14"/>
      <c r="FRE1153" s="14"/>
      <c r="FRF1153" s="14"/>
      <c r="FRG1153" s="14"/>
      <c r="FRH1153" s="14"/>
      <c r="FRI1153" s="14"/>
      <c r="FRJ1153" s="14"/>
      <c r="FRK1153" s="14"/>
      <c r="FRL1153" s="14"/>
      <c r="FRM1153" s="14"/>
      <c r="FRN1153" s="14"/>
      <c r="FRO1153" s="14"/>
      <c r="FRP1153" s="14"/>
      <c r="FRQ1153" s="14"/>
      <c r="FRR1153" s="14"/>
      <c r="FRS1153" s="14"/>
      <c r="FRT1153" s="14"/>
      <c r="FRU1153" s="14"/>
      <c r="FRV1153" s="14"/>
      <c r="FRW1153" s="14"/>
      <c r="FRX1153" s="14"/>
      <c r="FRY1153" s="14"/>
      <c r="FRZ1153" s="14"/>
      <c r="FSA1153" s="14"/>
      <c r="FSB1153" s="14"/>
      <c r="FSC1153" s="14"/>
      <c r="FSD1153" s="14"/>
      <c r="FSE1153" s="14"/>
      <c r="FSF1153" s="14"/>
      <c r="FSG1153" s="14"/>
      <c r="FSH1153" s="14"/>
      <c r="FSI1153" s="14"/>
      <c r="FSJ1153" s="14"/>
      <c r="FSK1153" s="14"/>
      <c r="FSL1153" s="14"/>
      <c r="FSM1153" s="14"/>
      <c r="FSN1153" s="14"/>
      <c r="FSO1153" s="14"/>
      <c r="FSP1153" s="14"/>
      <c r="FSQ1153" s="14"/>
      <c r="FSR1153" s="14"/>
      <c r="FSS1153" s="14"/>
      <c r="FST1153" s="14"/>
      <c r="FSU1153" s="14"/>
      <c r="FSV1153" s="14"/>
      <c r="FSW1153" s="14"/>
      <c r="FSX1153" s="14"/>
      <c r="FSY1153" s="14"/>
      <c r="FSZ1153" s="14"/>
      <c r="FTA1153" s="14"/>
      <c r="FTB1153" s="14"/>
      <c r="FTC1153" s="14"/>
      <c r="FTD1153" s="14"/>
      <c r="FTE1153" s="14"/>
      <c r="FTF1153" s="14"/>
      <c r="FTG1153" s="14"/>
      <c r="FTH1153" s="14"/>
      <c r="FTI1153" s="14"/>
      <c r="FTJ1153" s="14"/>
      <c r="FTK1153" s="14"/>
      <c r="FTL1153" s="14"/>
      <c r="FTM1153" s="14"/>
      <c r="FTN1153" s="14"/>
      <c r="FTO1153" s="14"/>
      <c r="FTP1153" s="14"/>
      <c r="FTQ1153" s="14"/>
      <c r="FTR1153" s="14"/>
      <c r="FTS1153" s="14"/>
      <c r="FTT1153" s="14"/>
      <c r="FTU1153" s="14"/>
      <c r="FTV1153" s="14"/>
      <c r="FTW1153" s="14"/>
      <c r="FTX1153" s="14"/>
      <c r="FTY1153" s="14"/>
      <c r="FTZ1153" s="14"/>
      <c r="FUA1153" s="14"/>
      <c r="FUB1153" s="14"/>
      <c r="FUC1153" s="14"/>
      <c r="FUD1153" s="14"/>
      <c r="FUE1153" s="14"/>
      <c r="FUF1153" s="14"/>
      <c r="FUG1153" s="14"/>
      <c r="FUH1153" s="14"/>
      <c r="FUI1153" s="14"/>
      <c r="FUJ1153" s="14"/>
      <c r="FUK1153" s="14"/>
      <c r="FUL1153" s="14"/>
      <c r="FUM1153" s="14"/>
      <c r="FUN1153" s="14"/>
      <c r="FUO1153" s="14"/>
      <c r="FUP1153" s="14"/>
      <c r="FUQ1153" s="14"/>
      <c r="FUR1153" s="14"/>
      <c r="FUS1153" s="14"/>
      <c r="FUT1153" s="14"/>
      <c r="FUU1153" s="14"/>
      <c r="FUV1153" s="14"/>
      <c r="FUW1153" s="14"/>
      <c r="FUX1153" s="14"/>
      <c r="FUY1153" s="14"/>
      <c r="FUZ1153" s="14"/>
      <c r="FVA1153" s="14"/>
      <c r="FVB1153" s="14"/>
      <c r="FVC1153" s="14"/>
      <c r="FVD1153" s="14"/>
      <c r="FVE1153" s="14"/>
      <c r="FVF1153" s="14"/>
      <c r="FVG1153" s="14"/>
      <c r="FVH1153" s="14"/>
      <c r="FVI1153" s="14"/>
      <c r="FVJ1153" s="14"/>
      <c r="FVK1153" s="14"/>
      <c r="FVL1153" s="14"/>
      <c r="FVM1153" s="14"/>
      <c r="FVN1153" s="14"/>
      <c r="FVO1153" s="14"/>
      <c r="FVP1153" s="14"/>
      <c r="FVQ1153" s="14"/>
      <c r="FVR1153" s="14"/>
      <c r="FVS1153" s="14"/>
      <c r="FVT1153" s="14"/>
      <c r="FVU1153" s="14"/>
      <c r="FVV1153" s="14"/>
      <c r="FVW1153" s="14"/>
      <c r="FVX1153" s="14"/>
      <c r="FVY1153" s="14"/>
      <c r="FVZ1153" s="14"/>
      <c r="FWA1153" s="14"/>
      <c r="FWB1153" s="14"/>
      <c r="FWC1153" s="14"/>
      <c r="FWD1153" s="14"/>
      <c r="FWE1153" s="14"/>
      <c r="FWF1153" s="14"/>
      <c r="FWG1153" s="14"/>
      <c r="FWH1153" s="14"/>
      <c r="FWI1153" s="14"/>
      <c r="FWJ1153" s="14"/>
      <c r="FWK1153" s="14"/>
      <c r="FWL1153" s="14"/>
      <c r="FWM1153" s="14"/>
      <c r="FWN1153" s="14"/>
      <c r="FWO1153" s="14"/>
      <c r="FWP1153" s="14"/>
      <c r="FWQ1153" s="14"/>
      <c r="FWR1153" s="14"/>
      <c r="FWS1153" s="14"/>
      <c r="FWT1153" s="14"/>
      <c r="FWU1153" s="14"/>
      <c r="FWV1153" s="14"/>
      <c r="FWW1153" s="14"/>
      <c r="FWX1153" s="14"/>
      <c r="FWY1153" s="14"/>
      <c r="FWZ1153" s="14"/>
      <c r="FXA1153" s="14"/>
      <c r="FXB1153" s="14"/>
      <c r="FXC1153" s="14"/>
      <c r="FXD1153" s="14"/>
      <c r="FXE1153" s="14"/>
      <c r="FXF1153" s="14"/>
      <c r="FXG1153" s="14"/>
      <c r="FXH1153" s="14"/>
      <c r="FXI1153" s="14"/>
      <c r="FXJ1153" s="14"/>
      <c r="FXK1153" s="14"/>
      <c r="FXL1153" s="14"/>
      <c r="FXM1153" s="14"/>
      <c r="FXN1153" s="14"/>
      <c r="FXO1153" s="14"/>
      <c r="FXP1153" s="14"/>
      <c r="FXQ1153" s="14"/>
      <c r="FXR1153" s="14"/>
      <c r="FXS1153" s="14"/>
      <c r="FXT1153" s="14"/>
      <c r="FXU1153" s="14"/>
      <c r="FXV1153" s="14"/>
      <c r="FXW1153" s="14"/>
      <c r="FXX1153" s="14"/>
      <c r="FXY1153" s="14"/>
      <c r="FXZ1153" s="14"/>
      <c r="FYA1153" s="14"/>
      <c r="FYB1153" s="14"/>
      <c r="FYC1153" s="14"/>
      <c r="FYD1153" s="14"/>
      <c r="FYE1153" s="14"/>
      <c r="FYF1153" s="14"/>
      <c r="FYG1153" s="14"/>
      <c r="FYH1153" s="14"/>
      <c r="FYI1153" s="14"/>
      <c r="FYJ1153" s="14"/>
      <c r="FYK1153" s="14"/>
      <c r="FYL1153" s="14"/>
      <c r="FYM1153" s="14"/>
      <c r="FYN1153" s="14"/>
      <c r="FYO1153" s="14"/>
      <c r="FYP1153" s="14"/>
      <c r="FYQ1153" s="14"/>
      <c r="FYR1153" s="14"/>
      <c r="FYS1153" s="14"/>
      <c r="FYT1153" s="14"/>
      <c r="FYU1153" s="14"/>
      <c r="FYV1153" s="14"/>
      <c r="FYW1153" s="14"/>
      <c r="FYX1153" s="14"/>
      <c r="FYY1153" s="14"/>
      <c r="FYZ1153" s="14"/>
      <c r="FZA1153" s="14"/>
      <c r="FZB1153" s="14"/>
      <c r="FZC1153" s="14"/>
      <c r="FZD1153" s="14"/>
      <c r="FZE1153" s="14"/>
      <c r="FZF1153" s="14"/>
      <c r="FZG1153" s="14"/>
      <c r="FZH1153" s="14"/>
      <c r="FZI1153" s="14"/>
      <c r="FZJ1153" s="14"/>
      <c r="FZK1153" s="14"/>
      <c r="FZL1153" s="14"/>
      <c r="FZM1153" s="14"/>
      <c r="FZN1153" s="14"/>
      <c r="FZO1153" s="14"/>
      <c r="FZP1153" s="14"/>
      <c r="FZQ1153" s="14"/>
      <c r="FZR1153" s="14"/>
      <c r="FZS1153" s="14"/>
      <c r="FZT1153" s="14"/>
      <c r="FZU1153" s="14"/>
      <c r="FZV1153" s="14"/>
      <c r="FZW1153" s="14"/>
      <c r="FZX1153" s="14"/>
      <c r="FZY1153" s="14"/>
      <c r="FZZ1153" s="14"/>
      <c r="GAA1153" s="14"/>
      <c r="GAB1153" s="14"/>
      <c r="GAC1153" s="14"/>
      <c r="GAD1153" s="14"/>
      <c r="GAE1153" s="14"/>
      <c r="GAF1153" s="14"/>
      <c r="GAG1153" s="14"/>
      <c r="GAH1153" s="14"/>
      <c r="GAI1153" s="14"/>
      <c r="GAJ1153" s="14"/>
      <c r="GAK1153" s="14"/>
      <c r="GAL1153" s="14"/>
      <c r="GAM1153" s="14"/>
      <c r="GAN1153" s="14"/>
      <c r="GAO1153" s="14"/>
      <c r="GAP1153" s="14"/>
      <c r="GAQ1153" s="14"/>
      <c r="GAR1153" s="14"/>
      <c r="GAS1153" s="14"/>
      <c r="GAT1153" s="14"/>
      <c r="GAU1153" s="14"/>
      <c r="GAV1153" s="14"/>
      <c r="GAW1153" s="14"/>
      <c r="GAX1153" s="14"/>
      <c r="GAY1153" s="14"/>
      <c r="GAZ1153" s="14"/>
      <c r="GBA1153" s="14"/>
      <c r="GBB1153" s="14"/>
      <c r="GBC1153" s="14"/>
      <c r="GBD1153" s="14"/>
      <c r="GBE1153" s="14"/>
      <c r="GBF1153" s="14"/>
      <c r="GBG1153" s="14"/>
      <c r="GBH1153" s="14"/>
      <c r="GBI1153" s="14"/>
      <c r="GBJ1153" s="14"/>
      <c r="GBK1153" s="14"/>
      <c r="GBL1153" s="14"/>
      <c r="GBM1153" s="14"/>
      <c r="GBN1153" s="14"/>
      <c r="GBO1153" s="14"/>
      <c r="GBP1153" s="14"/>
      <c r="GBQ1153" s="14"/>
      <c r="GBR1153" s="14"/>
      <c r="GBS1153" s="14"/>
      <c r="GBT1153" s="14"/>
      <c r="GBU1153" s="14"/>
      <c r="GBV1153" s="14"/>
      <c r="GBW1153" s="14"/>
      <c r="GBX1153" s="14"/>
      <c r="GBY1153" s="14"/>
      <c r="GBZ1153" s="14"/>
      <c r="GCA1153" s="14"/>
      <c r="GCB1153" s="14"/>
      <c r="GCC1153" s="14"/>
      <c r="GCD1153" s="14"/>
      <c r="GCE1153" s="14"/>
      <c r="GCF1153" s="14"/>
      <c r="GCG1153" s="14"/>
      <c r="GCH1153" s="14"/>
      <c r="GCI1153" s="14"/>
      <c r="GCJ1153" s="14"/>
      <c r="GCK1153" s="14"/>
      <c r="GCL1153" s="14"/>
      <c r="GCM1153" s="14"/>
      <c r="GCN1153" s="14"/>
      <c r="GCO1153" s="14"/>
      <c r="GCP1153" s="14"/>
      <c r="GCQ1153" s="14"/>
      <c r="GCR1153" s="14"/>
      <c r="GCS1153" s="14"/>
      <c r="GCT1153" s="14"/>
      <c r="GCU1153" s="14"/>
      <c r="GCV1153" s="14"/>
      <c r="GCW1153" s="14"/>
      <c r="GCX1153" s="14"/>
      <c r="GCY1153" s="14"/>
      <c r="GCZ1153" s="14"/>
      <c r="GDA1153" s="14"/>
      <c r="GDB1153" s="14"/>
      <c r="GDC1153" s="14"/>
      <c r="GDD1153" s="14"/>
      <c r="GDE1153" s="14"/>
      <c r="GDF1153" s="14"/>
      <c r="GDG1153" s="14"/>
      <c r="GDH1153" s="14"/>
      <c r="GDI1153" s="14"/>
      <c r="GDJ1153" s="14"/>
      <c r="GDK1153" s="14"/>
      <c r="GDL1153" s="14"/>
      <c r="GDM1153" s="14"/>
      <c r="GDN1153" s="14"/>
      <c r="GDO1153" s="14"/>
      <c r="GDP1153" s="14"/>
      <c r="GDQ1153" s="14"/>
      <c r="GDR1153" s="14"/>
      <c r="GDS1153" s="14"/>
      <c r="GDT1153" s="14"/>
      <c r="GDU1153" s="14"/>
      <c r="GDV1153" s="14"/>
      <c r="GDW1153" s="14"/>
      <c r="GDX1153" s="14"/>
      <c r="GDY1153" s="14"/>
      <c r="GDZ1153" s="14"/>
      <c r="GEA1153" s="14"/>
      <c r="GEB1153" s="14"/>
      <c r="GEC1153" s="14"/>
      <c r="GED1153" s="14"/>
      <c r="GEE1153" s="14"/>
      <c r="GEF1153" s="14"/>
      <c r="GEG1153" s="14"/>
      <c r="GEH1153" s="14"/>
      <c r="GEI1153" s="14"/>
      <c r="GEJ1153" s="14"/>
      <c r="GEK1153" s="14"/>
      <c r="GEL1153" s="14"/>
      <c r="GEM1153" s="14"/>
      <c r="GEN1153" s="14"/>
      <c r="GEO1153" s="14"/>
      <c r="GEP1153" s="14"/>
      <c r="GEQ1153" s="14"/>
      <c r="GER1153" s="14"/>
      <c r="GES1153" s="14"/>
      <c r="GET1153" s="14"/>
      <c r="GEU1153" s="14"/>
      <c r="GEV1153" s="14"/>
      <c r="GEW1153" s="14"/>
      <c r="GEX1153" s="14"/>
      <c r="GEY1153" s="14"/>
      <c r="GEZ1153" s="14"/>
      <c r="GFA1153" s="14"/>
      <c r="GFB1153" s="14"/>
      <c r="GFC1153" s="14"/>
      <c r="GFD1153" s="14"/>
      <c r="GFE1153" s="14"/>
      <c r="GFF1153" s="14"/>
      <c r="GFG1153" s="14"/>
      <c r="GFH1153" s="14"/>
      <c r="GFI1153" s="14"/>
      <c r="GFJ1153" s="14"/>
      <c r="GFK1153" s="14"/>
      <c r="GFL1153" s="14"/>
      <c r="GFM1153" s="14"/>
      <c r="GFN1153" s="14"/>
      <c r="GFO1153" s="14"/>
      <c r="GFP1153" s="14"/>
      <c r="GFQ1153" s="14"/>
      <c r="GFR1153" s="14"/>
      <c r="GFS1153" s="14"/>
      <c r="GFT1153" s="14"/>
      <c r="GFU1153" s="14"/>
      <c r="GFV1153" s="14"/>
      <c r="GFW1153" s="14"/>
      <c r="GFX1153" s="14"/>
      <c r="GFY1153" s="14"/>
      <c r="GFZ1153" s="14"/>
      <c r="GGA1153" s="14"/>
      <c r="GGB1153" s="14"/>
      <c r="GGC1153" s="14"/>
      <c r="GGD1153" s="14"/>
      <c r="GGE1153" s="14"/>
      <c r="GGF1153" s="14"/>
      <c r="GGG1153" s="14"/>
      <c r="GGH1153" s="14"/>
      <c r="GGI1153" s="14"/>
      <c r="GGJ1153" s="14"/>
      <c r="GGK1153" s="14"/>
      <c r="GGL1153" s="14"/>
      <c r="GGM1153" s="14"/>
      <c r="GGN1153" s="14"/>
      <c r="GGO1153" s="14"/>
      <c r="GGP1153" s="14"/>
      <c r="GGQ1153" s="14"/>
      <c r="GGR1153" s="14"/>
      <c r="GGS1153" s="14"/>
      <c r="GGT1153" s="14"/>
      <c r="GGU1153" s="14"/>
      <c r="GGV1153" s="14"/>
      <c r="GGW1153" s="14"/>
      <c r="GGX1153" s="14"/>
      <c r="GGY1153" s="14"/>
      <c r="GGZ1153" s="14"/>
      <c r="GHA1153" s="14"/>
      <c r="GHB1153" s="14"/>
      <c r="GHC1153" s="14"/>
      <c r="GHD1153" s="14"/>
      <c r="GHE1153" s="14"/>
      <c r="GHF1153" s="14"/>
      <c r="GHG1153" s="14"/>
      <c r="GHH1153" s="14"/>
      <c r="GHI1153" s="14"/>
      <c r="GHJ1153" s="14"/>
      <c r="GHK1153" s="14"/>
      <c r="GHL1153" s="14"/>
      <c r="GHM1153" s="14"/>
      <c r="GHN1153" s="14"/>
      <c r="GHO1153" s="14"/>
      <c r="GHP1153" s="14"/>
      <c r="GHQ1153" s="14"/>
      <c r="GHR1153" s="14"/>
      <c r="GHS1153" s="14"/>
      <c r="GHT1153" s="14"/>
      <c r="GHU1153" s="14"/>
      <c r="GHV1153" s="14"/>
      <c r="GHW1153" s="14"/>
      <c r="GHX1153" s="14"/>
      <c r="GHY1153" s="14"/>
      <c r="GHZ1153" s="14"/>
      <c r="GIA1153" s="14"/>
      <c r="GIB1153" s="14"/>
      <c r="GIC1153" s="14"/>
      <c r="GID1153" s="14"/>
      <c r="GIE1153" s="14"/>
      <c r="GIF1153" s="14"/>
      <c r="GIG1153" s="14"/>
      <c r="GIH1153" s="14"/>
      <c r="GII1153" s="14"/>
      <c r="GIJ1153" s="14"/>
      <c r="GIK1153" s="14"/>
      <c r="GIL1153" s="14"/>
      <c r="GIM1153" s="14"/>
      <c r="GIN1153" s="14"/>
      <c r="GIO1153" s="14"/>
      <c r="GIP1153" s="14"/>
      <c r="GIQ1153" s="14"/>
      <c r="GIR1153" s="14"/>
      <c r="GIS1153" s="14"/>
      <c r="GIT1153" s="14"/>
      <c r="GIU1153" s="14"/>
      <c r="GIV1153" s="14"/>
      <c r="GIW1153" s="14"/>
      <c r="GIX1153" s="14"/>
      <c r="GIY1153" s="14"/>
      <c r="GIZ1153" s="14"/>
      <c r="GJA1153" s="14"/>
      <c r="GJB1153" s="14"/>
      <c r="GJC1153" s="14"/>
      <c r="GJD1153" s="14"/>
      <c r="GJE1153" s="14"/>
      <c r="GJF1153" s="14"/>
      <c r="GJG1153" s="14"/>
      <c r="GJH1153" s="14"/>
      <c r="GJI1153" s="14"/>
      <c r="GJJ1153" s="14"/>
      <c r="GJK1153" s="14"/>
      <c r="GJL1153" s="14"/>
      <c r="GJM1153" s="14"/>
      <c r="GJN1153" s="14"/>
      <c r="GJO1153" s="14"/>
      <c r="GJP1153" s="14"/>
      <c r="GJQ1153" s="14"/>
      <c r="GJR1153" s="14"/>
      <c r="GJS1153" s="14"/>
      <c r="GJT1153" s="14"/>
      <c r="GJU1153" s="14"/>
      <c r="GJV1153" s="14"/>
      <c r="GJW1153" s="14"/>
      <c r="GJX1153" s="14"/>
      <c r="GJY1153" s="14"/>
      <c r="GJZ1153" s="14"/>
      <c r="GKA1153" s="14"/>
      <c r="GKB1153" s="14"/>
      <c r="GKC1153" s="14"/>
      <c r="GKD1153" s="14"/>
      <c r="GKE1153" s="14"/>
      <c r="GKF1153" s="14"/>
      <c r="GKG1153" s="14"/>
      <c r="GKH1153" s="14"/>
      <c r="GKI1153" s="14"/>
      <c r="GKJ1153" s="14"/>
      <c r="GKK1153" s="14"/>
      <c r="GKL1153" s="14"/>
      <c r="GKM1153" s="14"/>
      <c r="GKN1153" s="14"/>
      <c r="GKO1153" s="14"/>
      <c r="GKP1153" s="14"/>
      <c r="GKQ1153" s="14"/>
      <c r="GKR1153" s="14"/>
      <c r="GKS1153" s="14"/>
      <c r="GKT1153" s="14"/>
      <c r="GKU1153" s="14"/>
      <c r="GKV1153" s="14"/>
      <c r="GKW1153" s="14"/>
      <c r="GKX1153" s="14"/>
      <c r="GKY1153" s="14"/>
      <c r="GKZ1153" s="14"/>
      <c r="GLA1153" s="14"/>
      <c r="GLB1153" s="14"/>
      <c r="GLC1153" s="14"/>
      <c r="GLD1153" s="14"/>
      <c r="GLE1153" s="14"/>
      <c r="GLF1153" s="14"/>
      <c r="GLG1153" s="14"/>
      <c r="GLH1153" s="14"/>
      <c r="GLI1153" s="14"/>
      <c r="GLJ1153" s="14"/>
      <c r="GLK1153" s="14"/>
      <c r="GLL1153" s="14"/>
      <c r="GLM1153" s="14"/>
      <c r="GLN1153" s="14"/>
      <c r="GLO1153" s="14"/>
      <c r="GLP1153" s="14"/>
      <c r="GLQ1153" s="14"/>
      <c r="GLR1153" s="14"/>
      <c r="GLS1153" s="14"/>
      <c r="GLT1153" s="14"/>
      <c r="GLU1153" s="14"/>
      <c r="GLV1153" s="14"/>
      <c r="GLW1153" s="14"/>
      <c r="GLX1153" s="14"/>
      <c r="GLY1153" s="14"/>
      <c r="GLZ1153" s="14"/>
      <c r="GMA1153" s="14"/>
      <c r="GMB1153" s="14"/>
      <c r="GMC1153" s="14"/>
      <c r="GMD1153" s="14"/>
      <c r="GME1153" s="14"/>
      <c r="GMF1153" s="14"/>
      <c r="GMG1153" s="14"/>
      <c r="GMH1153" s="14"/>
      <c r="GMI1153" s="14"/>
      <c r="GMJ1153" s="14"/>
      <c r="GMK1153" s="14"/>
      <c r="GML1153" s="14"/>
      <c r="GMM1153" s="14"/>
      <c r="GMN1153" s="14"/>
      <c r="GMO1153" s="14"/>
      <c r="GMP1153" s="14"/>
      <c r="GMQ1153" s="14"/>
      <c r="GMR1153" s="14"/>
      <c r="GMS1153" s="14"/>
      <c r="GMT1153" s="14"/>
      <c r="GMU1153" s="14"/>
      <c r="GMV1153" s="14"/>
      <c r="GMW1153" s="14"/>
      <c r="GMX1153" s="14"/>
      <c r="GMY1153" s="14"/>
      <c r="GMZ1153" s="14"/>
      <c r="GNA1153" s="14"/>
      <c r="GNB1153" s="14"/>
      <c r="GNC1153" s="14"/>
      <c r="GND1153" s="14"/>
      <c r="GNE1153" s="14"/>
      <c r="GNF1153" s="14"/>
      <c r="GNG1153" s="14"/>
      <c r="GNH1153" s="14"/>
      <c r="GNI1153" s="14"/>
      <c r="GNJ1153" s="14"/>
      <c r="GNK1153" s="14"/>
      <c r="GNL1153" s="14"/>
      <c r="GNM1153" s="14"/>
      <c r="GNN1153" s="14"/>
      <c r="GNO1153" s="14"/>
      <c r="GNP1153" s="14"/>
      <c r="GNQ1153" s="14"/>
      <c r="GNR1153" s="14"/>
      <c r="GNS1153" s="14"/>
      <c r="GNT1153" s="14"/>
      <c r="GNU1153" s="14"/>
      <c r="GNV1153" s="14"/>
      <c r="GNW1153" s="14"/>
      <c r="GNX1153" s="14"/>
      <c r="GNY1153" s="14"/>
      <c r="GNZ1153" s="14"/>
      <c r="GOA1153" s="14"/>
      <c r="GOB1153" s="14"/>
      <c r="GOC1153" s="14"/>
      <c r="GOD1153" s="14"/>
      <c r="GOE1153" s="14"/>
      <c r="GOF1153" s="14"/>
      <c r="GOG1153" s="14"/>
      <c r="GOH1153" s="14"/>
      <c r="GOI1153" s="14"/>
      <c r="GOJ1153" s="14"/>
      <c r="GOK1153" s="14"/>
      <c r="GOL1153" s="14"/>
      <c r="GOM1153" s="14"/>
      <c r="GON1153" s="14"/>
      <c r="GOO1153" s="14"/>
      <c r="GOP1153" s="14"/>
      <c r="GOQ1153" s="14"/>
      <c r="GOR1153" s="14"/>
      <c r="GOS1153" s="14"/>
      <c r="GOT1153" s="14"/>
      <c r="GOU1153" s="14"/>
      <c r="GOV1153" s="14"/>
      <c r="GOW1153" s="14"/>
      <c r="GOX1153" s="14"/>
      <c r="GOY1153" s="14"/>
      <c r="GOZ1153" s="14"/>
      <c r="GPA1153" s="14"/>
      <c r="GPB1153" s="14"/>
      <c r="GPC1153" s="14"/>
      <c r="GPD1153" s="14"/>
      <c r="GPE1153" s="14"/>
      <c r="GPF1153" s="14"/>
      <c r="GPG1153" s="14"/>
      <c r="GPH1153" s="14"/>
      <c r="GPI1153" s="14"/>
      <c r="GPJ1153" s="14"/>
      <c r="GPK1153" s="14"/>
      <c r="GPL1153" s="14"/>
      <c r="GPM1153" s="14"/>
      <c r="GPN1153" s="14"/>
      <c r="GPO1153" s="14"/>
      <c r="GPP1153" s="14"/>
      <c r="GPQ1153" s="14"/>
      <c r="GPR1153" s="14"/>
      <c r="GPS1153" s="14"/>
      <c r="GPT1153" s="14"/>
      <c r="GPU1153" s="14"/>
      <c r="GPV1153" s="14"/>
      <c r="GPW1153" s="14"/>
      <c r="GPX1153" s="14"/>
      <c r="GPY1153" s="14"/>
      <c r="GPZ1153" s="14"/>
      <c r="GQA1153" s="14"/>
      <c r="GQB1153" s="14"/>
      <c r="GQC1153" s="14"/>
      <c r="GQD1153" s="14"/>
      <c r="GQE1153" s="14"/>
      <c r="GQF1153" s="14"/>
      <c r="GQG1153" s="14"/>
      <c r="GQH1153" s="14"/>
      <c r="GQI1153" s="14"/>
      <c r="GQJ1153" s="14"/>
      <c r="GQK1153" s="14"/>
      <c r="GQL1153" s="14"/>
      <c r="GQM1153" s="14"/>
      <c r="GQN1153" s="14"/>
      <c r="GQO1153" s="14"/>
      <c r="GQP1153" s="14"/>
      <c r="GQQ1153" s="14"/>
      <c r="GQR1153" s="14"/>
      <c r="GQS1153" s="14"/>
      <c r="GQT1153" s="14"/>
      <c r="GQU1153" s="14"/>
      <c r="GQV1153" s="14"/>
      <c r="GQW1153" s="14"/>
      <c r="GQX1153" s="14"/>
      <c r="GQY1153" s="14"/>
      <c r="GQZ1153" s="14"/>
      <c r="GRA1153" s="14"/>
      <c r="GRB1153" s="14"/>
      <c r="GRC1153" s="14"/>
      <c r="GRD1153" s="14"/>
      <c r="GRE1153" s="14"/>
      <c r="GRF1153" s="14"/>
      <c r="GRG1153" s="14"/>
      <c r="GRH1153" s="14"/>
      <c r="GRI1153" s="14"/>
      <c r="GRJ1153" s="14"/>
      <c r="GRK1153" s="14"/>
      <c r="GRL1153" s="14"/>
      <c r="GRM1153" s="14"/>
      <c r="GRN1153" s="14"/>
      <c r="GRO1153" s="14"/>
      <c r="GRP1153" s="14"/>
      <c r="GRQ1153" s="14"/>
      <c r="GRR1153" s="14"/>
      <c r="GRS1153" s="14"/>
      <c r="GRT1153" s="14"/>
      <c r="GRU1153" s="14"/>
      <c r="GRV1153" s="14"/>
      <c r="GRW1153" s="14"/>
      <c r="GRX1153" s="14"/>
      <c r="GRY1153" s="14"/>
      <c r="GRZ1153" s="14"/>
      <c r="GSA1153" s="14"/>
      <c r="GSB1153" s="14"/>
      <c r="GSC1153" s="14"/>
      <c r="GSD1153" s="14"/>
      <c r="GSE1153" s="14"/>
      <c r="GSF1153" s="14"/>
      <c r="GSG1153" s="14"/>
      <c r="GSH1153" s="14"/>
      <c r="GSI1153" s="14"/>
      <c r="GSJ1153" s="14"/>
      <c r="GSK1153" s="14"/>
      <c r="GSL1153" s="14"/>
      <c r="GSM1153" s="14"/>
      <c r="GSN1153" s="14"/>
      <c r="GSO1153" s="14"/>
      <c r="GSP1153" s="14"/>
      <c r="GSQ1153" s="14"/>
      <c r="GSR1153" s="14"/>
      <c r="GSS1153" s="14"/>
      <c r="GST1153" s="14"/>
      <c r="GSU1153" s="14"/>
      <c r="GSV1153" s="14"/>
      <c r="GSW1153" s="14"/>
      <c r="GSX1153" s="14"/>
      <c r="GSY1153" s="14"/>
      <c r="GSZ1153" s="14"/>
      <c r="GTA1153" s="14"/>
      <c r="GTB1153" s="14"/>
      <c r="GTC1153" s="14"/>
      <c r="GTD1153" s="14"/>
      <c r="GTE1153" s="14"/>
      <c r="GTF1153" s="14"/>
      <c r="GTG1153" s="14"/>
      <c r="GTH1153" s="14"/>
      <c r="GTI1153" s="14"/>
      <c r="GTJ1153" s="14"/>
      <c r="GTK1153" s="14"/>
      <c r="GTL1153" s="14"/>
      <c r="GTM1153" s="14"/>
      <c r="GTN1153" s="14"/>
      <c r="GTO1153" s="14"/>
      <c r="GTP1153" s="14"/>
      <c r="GTQ1153" s="14"/>
      <c r="GTR1153" s="14"/>
      <c r="GTS1153" s="14"/>
      <c r="GTT1153" s="14"/>
      <c r="GTU1153" s="14"/>
      <c r="GTV1153" s="14"/>
      <c r="GTW1153" s="14"/>
      <c r="GTX1153" s="14"/>
      <c r="GTY1153" s="14"/>
      <c r="GTZ1153" s="14"/>
      <c r="GUA1153" s="14"/>
      <c r="GUB1153" s="14"/>
      <c r="GUC1153" s="14"/>
      <c r="GUD1153" s="14"/>
      <c r="GUE1153" s="14"/>
      <c r="GUF1153" s="14"/>
      <c r="GUG1153" s="14"/>
      <c r="GUH1153" s="14"/>
      <c r="GUI1153" s="14"/>
      <c r="GUJ1153" s="14"/>
      <c r="GUK1153" s="14"/>
      <c r="GUL1153" s="14"/>
      <c r="GUM1153" s="14"/>
      <c r="GUN1153" s="14"/>
      <c r="GUO1153" s="14"/>
      <c r="GUP1153" s="14"/>
      <c r="GUQ1153" s="14"/>
      <c r="GUR1153" s="14"/>
      <c r="GUS1153" s="14"/>
      <c r="GUT1153" s="14"/>
      <c r="GUU1153" s="14"/>
      <c r="GUV1153" s="14"/>
      <c r="GUW1153" s="14"/>
      <c r="GUX1153" s="14"/>
      <c r="GUY1153" s="14"/>
      <c r="GUZ1153" s="14"/>
      <c r="GVA1153" s="14"/>
      <c r="GVB1153" s="14"/>
      <c r="GVC1153" s="14"/>
      <c r="GVD1153" s="14"/>
      <c r="GVE1153" s="14"/>
      <c r="GVF1153" s="14"/>
      <c r="GVG1153" s="14"/>
      <c r="GVH1153" s="14"/>
      <c r="GVI1153" s="14"/>
      <c r="GVJ1153" s="14"/>
      <c r="GVK1153" s="14"/>
      <c r="GVL1153" s="14"/>
      <c r="GVM1153" s="14"/>
      <c r="GVN1153" s="14"/>
      <c r="GVO1153" s="14"/>
      <c r="GVP1153" s="14"/>
      <c r="GVQ1153" s="14"/>
      <c r="GVR1153" s="14"/>
      <c r="GVS1153" s="14"/>
      <c r="GVT1153" s="14"/>
      <c r="GVU1153" s="14"/>
      <c r="GVV1153" s="14"/>
      <c r="GVW1153" s="14"/>
      <c r="GVX1153" s="14"/>
      <c r="GVY1153" s="14"/>
      <c r="GVZ1153" s="14"/>
      <c r="GWA1153" s="14"/>
      <c r="GWB1153" s="14"/>
      <c r="GWC1153" s="14"/>
      <c r="GWD1153" s="14"/>
      <c r="GWE1153" s="14"/>
      <c r="GWF1153" s="14"/>
      <c r="GWG1153" s="14"/>
      <c r="GWH1153" s="14"/>
      <c r="GWI1153" s="14"/>
      <c r="GWJ1153" s="14"/>
      <c r="GWK1153" s="14"/>
      <c r="GWL1153" s="14"/>
      <c r="GWM1153" s="14"/>
      <c r="GWN1153" s="14"/>
      <c r="GWO1153" s="14"/>
      <c r="GWP1153" s="14"/>
      <c r="GWQ1153" s="14"/>
      <c r="GWR1153" s="14"/>
      <c r="GWS1153" s="14"/>
      <c r="GWT1153" s="14"/>
      <c r="GWU1153" s="14"/>
      <c r="GWV1153" s="14"/>
      <c r="GWW1153" s="14"/>
      <c r="GWX1153" s="14"/>
      <c r="GWY1153" s="14"/>
      <c r="GWZ1153" s="14"/>
      <c r="GXA1153" s="14"/>
      <c r="GXB1153" s="14"/>
      <c r="GXC1153" s="14"/>
      <c r="GXD1153" s="14"/>
      <c r="GXE1153" s="14"/>
      <c r="GXF1153" s="14"/>
      <c r="GXG1153" s="14"/>
      <c r="GXH1153" s="14"/>
      <c r="GXI1153" s="14"/>
      <c r="GXJ1153" s="14"/>
      <c r="GXK1153" s="14"/>
      <c r="GXL1153" s="14"/>
      <c r="GXM1153" s="14"/>
      <c r="GXN1153" s="14"/>
      <c r="GXO1153" s="14"/>
      <c r="GXP1153" s="14"/>
      <c r="GXQ1153" s="14"/>
      <c r="GXR1153" s="14"/>
      <c r="GXS1153" s="14"/>
      <c r="GXT1153" s="14"/>
      <c r="GXU1153" s="14"/>
      <c r="GXV1153" s="14"/>
      <c r="GXW1153" s="14"/>
      <c r="GXX1153" s="14"/>
      <c r="GXY1153" s="14"/>
      <c r="GXZ1153" s="14"/>
      <c r="GYA1153" s="14"/>
      <c r="GYB1153" s="14"/>
      <c r="GYC1153" s="14"/>
      <c r="GYD1153" s="14"/>
      <c r="GYE1153" s="14"/>
      <c r="GYF1153" s="14"/>
      <c r="GYG1153" s="14"/>
      <c r="GYH1153" s="14"/>
      <c r="GYI1153" s="14"/>
      <c r="GYJ1153" s="14"/>
      <c r="GYK1153" s="14"/>
      <c r="GYL1153" s="14"/>
      <c r="GYM1153" s="14"/>
      <c r="GYN1153" s="14"/>
      <c r="GYO1153" s="14"/>
      <c r="GYP1153" s="14"/>
      <c r="GYQ1153" s="14"/>
      <c r="GYR1153" s="14"/>
      <c r="GYS1153" s="14"/>
      <c r="GYT1153" s="14"/>
      <c r="GYU1153" s="14"/>
      <c r="GYV1153" s="14"/>
      <c r="GYW1153" s="14"/>
      <c r="GYX1153" s="14"/>
      <c r="GYY1153" s="14"/>
      <c r="GYZ1153" s="14"/>
      <c r="GZA1153" s="14"/>
      <c r="GZB1153" s="14"/>
      <c r="GZC1153" s="14"/>
      <c r="GZD1153" s="14"/>
      <c r="GZE1153" s="14"/>
      <c r="GZF1153" s="14"/>
      <c r="GZG1153" s="14"/>
      <c r="GZH1153" s="14"/>
      <c r="GZI1153" s="14"/>
      <c r="GZJ1153" s="14"/>
      <c r="GZK1153" s="14"/>
      <c r="GZL1153" s="14"/>
      <c r="GZM1153" s="14"/>
      <c r="GZN1153" s="14"/>
      <c r="GZO1153" s="14"/>
      <c r="GZP1153" s="14"/>
      <c r="GZQ1153" s="14"/>
      <c r="GZR1153" s="14"/>
      <c r="GZS1153" s="14"/>
      <c r="GZT1153" s="14"/>
      <c r="GZU1153" s="14"/>
      <c r="GZV1153" s="14"/>
      <c r="GZW1153" s="14"/>
      <c r="GZX1153" s="14"/>
      <c r="GZY1153" s="14"/>
      <c r="GZZ1153" s="14"/>
      <c r="HAA1153" s="14"/>
      <c r="HAB1153" s="14"/>
      <c r="HAC1153" s="14"/>
      <c r="HAD1153" s="14"/>
      <c r="HAE1153" s="14"/>
      <c r="HAF1153" s="14"/>
      <c r="HAG1153" s="14"/>
      <c r="HAH1153" s="14"/>
      <c r="HAI1153" s="14"/>
      <c r="HAJ1153" s="14"/>
      <c r="HAK1153" s="14"/>
      <c r="HAL1153" s="14"/>
      <c r="HAM1153" s="14"/>
      <c r="HAN1153" s="14"/>
      <c r="HAO1153" s="14"/>
      <c r="HAP1153" s="14"/>
      <c r="HAQ1153" s="14"/>
      <c r="HAR1153" s="14"/>
      <c r="HAS1153" s="14"/>
      <c r="HAT1153" s="14"/>
      <c r="HAU1153" s="14"/>
      <c r="HAV1153" s="14"/>
      <c r="HAW1153" s="14"/>
      <c r="HAX1153" s="14"/>
      <c r="HAY1153" s="14"/>
      <c r="HAZ1153" s="14"/>
      <c r="HBA1153" s="14"/>
      <c r="HBB1153" s="14"/>
      <c r="HBC1153" s="14"/>
      <c r="HBD1153" s="14"/>
      <c r="HBE1153" s="14"/>
      <c r="HBF1153" s="14"/>
      <c r="HBG1153" s="14"/>
      <c r="HBH1153" s="14"/>
      <c r="HBI1153" s="14"/>
      <c r="HBJ1153" s="14"/>
      <c r="HBK1153" s="14"/>
      <c r="HBL1153" s="14"/>
      <c r="HBM1153" s="14"/>
      <c r="HBN1153" s="14"/>
      <c r="HBO1153" s="14"/>
      <c r="HBP1153" s="14"/>
      <c r="HBQ1153" s="14"/>
      <c r="HBR1153" s="14"/>
      <c r="HBS1153" s="14"/>
      <c r="HBT1153" s="14"/>
      <c r="HBU1153" s="14"/>
      <c r="HBV1153" s="14"/>
      <c r="HBW1153" s="14"/>
      <c r="HBX1153" s="14"/>
      <c r="HBY1153" s="14"/>
      <c r="HBZ1153" s="14"/>
      <c r="HCA1153" s="14"/>
      <c r="HCB1153" s="14"/>
      <c r="HCC1153" s="14"/>
      <c r="HCD1153" s="14"/>
      <c r="HCE1153" s="14"/>
      <c r="HCF1153" s="14"/>
      <c r="HCG1153" s="14"/>
      <c r="HCH1153" s="14"/>
      <c r="HCI1153" s="14"/>
      <c r="HCJ1153" s="14"/>
      <c r="HCK1153" s="14"/>
      <c r="HCL1153" s="14"/>
      <c r="HCM1153" s="14"/>
      <c r="HCN1153" s="14"/>
      <c r="HCO1153" s="14"/>
      <c r="HCP1153" s="14"/>
      <c r="HCQ1153" s="14"/>
      <c r="HCR1153" s="14"/>
      <c r="HCS1153" s="14"/>
      <c r="HCT1153" s="14"/>
      <c r="HCU1153" s="14"/>
      <c r="HCV1153" s="14"/>
      <c r="HCW1153" s="14"/>
      <c r="HCX1153" s="14"/>
      <c r="HCY1153" s="14"/>
      <c r="HCZ1153" s="14"/>
      <c r="HDA1153" s="14"/>
      <c r="HDB1153" s="14"/>
      <c r="HDC1153" s="14"/>
      <c r="HDD1153" s="14"/>
      <c r="HDE1153" s="14"/>
      <c r="HDF1153" s="14"/>
      <c r="HDG1153" s="14"/>
      <c r="HDH1153" s="14"/>
      <c r="HDI1153" s="14"/>
      <c r="HDJ1153" s="14"/>
      <c r="HDK1153" s="14"/>
      <c r="HDL1153" s="14"/>
      <c r="HDM1153" s="14"/>
      <c r="HDN1153" s="14"/>
      <c r="HDO1153" s="14"/>
      <c r="HDP1153" s="14"/>
      <c r="HDQ1153" s="14"/>
      <c r="HDR1153" s="14"/>
      <c r="HDS1153" s="14"/>
      <c r="HDT1153" s="14"/>
      <c r="HDU1153" s="14"/>
      <c r="HDV1153" s="14"/>
      <c r="HDW1153" s="14"/>
      <c r="HDX1153" s="14"/>
      <c r="HDY1153" s="14"/>
      <c r="HDZ1153" s="14"/>
      <c r="HEA1153" s="14"/>
      <c r="HEB1153" s="14"/>
      <c r="HEC1153" s="14"/>
      <c r="HED1153" s="14"/>
      <c r="HEE1153" s="14"/>
      <c r="HEF1153" s="14"/>
      <c r="HEG1153" s="14"/>
      <c r="HEH1153" s="14"/>
      <c r="HEI1153" s="14"/>
      <c r="HEJ1153" s="14"/>
      <c r="HEK1153" s="14"/>
      <c r="HEL1153" s="14"/>
      <c r="HEM1153" s="14"/>
      <c r="HEN1153" s="14"/>
      <c r="HEO1153" s="14"/>
      <c r="HEP1153" s="14"/>
      <c r="HEQ1153" s="14"/>
      <c r="HER1153" s="14"/>
      <c r="HES1153" s="14"/>
      <c r="HET1153" s="14"/>
      <c r="HEU1153" s="14"/>
      <c r="HEV1153" s="14"/>
      <c r="HEW1153" s="14"/>
      <c r="HEX1153" s="14"/>
      <c r="HEY1153" s="14"/>
      <c r="HEZ1153" s="14"/>
      <c r="HFA1153" s="14"/>
      <c r="HFB1153" s="14"/>
      <c r="HFC1153" s="14"/>
      <c r="HFD1153" s="14"/>
      <c r="HFE1153" s="14"/>
      <c r="HFF1153" s="14"/>
      <c r="HFG1153" s="14"/>
      <c r="HFH1153" s="14"/>
      <c r="HFI1153" s="14"/>
      <c r="HFJ1153" s="14"/>
      <c r="HFK1153" s="14"/>
      <c r="HFL1153" s="14"/>
      <c r="HFM1153" s="14"/>
      <c r="HFN1153" s="14"/>
      <c r="HFO1153" s="14"/>
      <c r="HFP1153" s="14"/>
      <c r="HFQ1153" s="14"/>
      <c r="HFR1153" s="14"/>
      <c r="HFS1153" s="14"/>
      <c r="HFT1153" s="14"/>
      <c r="HFU1153" s="14"/>
      <c r="HFV1153" s="14"/>
      <c r="HFW1153" s="14"/>
      <c r="HFX1153" s="14"/>
      <c r="HFY1153" s="14"/>
      <c r="HFZ1153" s="14"/>
      <c r="HGA1153" s="14"/>
      <c r="HGB1153" s="14"/>
      <c r="HGC1153" s="14"/>
      <c r="HGD1153" s="14"/>
      <c r="HGE1153" s="14"/>
      <c r="HGF1153" s="14"/>
      <c r="HGG1153" s="14"/>
      <c r="HGH1153" s="14"/>
      <c r="HGI1153" s="14"/>
      <c r="HGJ1153" s="14"/>
      <c r="HGK1153" s="14"/>
      <c r="HGL1153" s="14"/>
      <c r="HGM1153" s="14"/>
      <c r="HGN1153" s="14"/>
      <c r="HGO1153" s="14"/>
      <c r="HGP1153" s="14"/>
      <c r="HGQ1153" s="14"/>
      <c r="HGR1153" s="14"/>
      <c r="HGS1153" s="14"/>
      <c r="HGT1153" s="14"/>
      <c r="HGU1153" s="14"/>
      <c r="HGV1153" s="14"/>
      <c r="HGW1153" s="14"/>
      <c r="HGX1153" s="14"/>
      <c r="HGY1153" s="14"/>
      <c r="HGZ1153" s="14"/>
      <c r="HHA1153" s="14"/>
      <c r="HHB1153" s="14"/>
      <c r="HHC1153" s="14"/>
      <c r="HHD1153" s="14"/>
      <c r="HHE1153" s="14"/>
      <c r="HHF1153" s="14"/>
      <c r="HHG1153" s="14"/>
      <c r="HHH1153" s="14"/>
      <c r="HHI1153" s="14"/>
      <c r="HHJ1153" s="14"/>
      <c r="HHK1153" s="14"/>
      <c r="HHL1153" s="14"/>
      <c r="HHM1153" s="14"/>
      <c r="HHN1153" s="14"/>
      <c r="HHO1153" s="14"/>
      <c r="HHP1153" s="14"/>
      <c r="HHQ1153" s="14"/>
      <c r="HHR1153" s="14"/>
      <c r="HHS1153" s="14"/>
      <c r="HHT1153" s="14"/>
      <c r="HHU1153" s="14"/>
      <c r="HHV1153" s="14"/>
      <c r="HHW1153" s="14"/>
      <c r="HHX1153" s="14"/>
      <c r="HHY1153" s="14"/>
      <c r="HHZ1153" s="14"/>
      <c r="HIA1153" s="14"/>
      <c r="HIB1153" s="14"/>
      <c r="HIC1153" s="14"/>
      <c r="HID1153" s="14"/>
      <c r="HIE1153" s="14"/>
      <c r="HIF1153" s="14"/>
      <c r="HIG1153" s="14"/>
      <c r="HIH1153" s="14"/>
      <c r="HII1153" s="14"/>
      <c r="HIJ1153" s="14"/>
      <c r="HIK1153" s="14"/>
      <c r="HIL1153" s="14"/>
      <c r="HIM1153" s="14"/>
      <c r="HIN1153" s="14"/>
      <c r="HIO1153" s="14"/>
      <c r="HIP1153" s="14"/>
      <c r="HIQ1153" s="14"/>
      <c r="HIR1153" s="14"/>
      <c r="HIS1153" s="14"/>
      <c r="HIT1153" s="14"/>
      <c r="HIU1153" s="14"/>
      <c r="HIV1153" s="14"/>
      <c r="HIW1153" s="14"/>
      <c r="HIX1153" s="14"/>
      <c r="HIY1153" s="14"/>
      <c r="HIZ1153" s="14"/>
      <c r="HJA1153" s="14"/>
      <c r="HJB1153" s="14"/>
      <c r="HJC1153" s="14"/>
      <c r="HJD1153" s="14"/>
      <c r="HJE1153" s="14"/>
      <c r="HJF1153" s="14"/>
      <c r="HJG1153" s="14"/>
      <c r="HJH1153" s="14"/>
      <c r="HJI1153" s="14"/>
      <c r="HJJ1153" s="14"/>
      <c r="HJK1153" s="14"/>
      <c r="HJL1153" s="14"/>
      <c r="HJM1153" s="14"/>
      <c r="HJN1153" s="14"/>
      <c r="HJO1153" s="14"/>
      <c r="HJP1153" s="14"/>
      <c r="HJQ1153" s="14"/>
      <c r="HJR1153" s="14"/>
      <c r="HJS1153" s="14"/>
      <c r="HJT1153" s="14"/>
      <c r="HJU1153" s="14"/>
      <c r="HJV1153" s="14"/>
      <c r="HJW1153" s="14"/>
      <c r="HJX1153" s="14"/>
      <c r="HJY1153" s="14"/>
      <c r="HJZ1153" s="14"/>
      <c r="HKA1153" s="14"/>
      <c r="HKB1153" s="14"/>
      <c r="HKC1153" s="14"/>
      <c r="HKD1153" s="14"/>
      <c r="HKE1153" s="14"/>
      <c r="HKF1153" s="14"/>
      <c r="HKG1153" s="14"/>
      <c r="HKH1153" s="14"/>
      <c r="HKI1153" s="14"/>
      <c r="HKJ1153" s="14"/>
      <c r="HKK1153" s="14"/>
      <c r="HKL1153" s="14"/>
      <c r="HKM1153" s="14"/>
      <c r="HKN1153" s="14"/>
      <c r="HKO1153" s="14"/>
      <c r="HKP1153" s="14"/>
      <c r="HKQ1153" s="14"/>
      <c r="HKR1153" s="14"/>
      <c r="HKS1153" s="14"/>
      <c r="HKT1153" s="14"/>
      <c r="HKU1153" s="14"/>
      <c r="HKV1153" s="14"/>
      <c r="HKW1153" s="14"/>
      <c r="HKX1153" s="14"/>
      <c r="HKY1153" s="14"/>
      <c r="HKZ1153" s="14"/>
      <c r="HLA1153" s="14"/>
      <c r="HLB1153" s="14"/>
      <c r="HLC1153" s="14"/>
      <c r="HLD1153" s="14"/>
      <c r="HLE1153" s="14"/>
      <c r="HLF1153" s="14"/>
      <c r="HLG1153" s="14"/>
      <c r="HLH1153" s="14"/>
      <c r="HLI1153" s="14"/>
      <c r="HLJ1153" s="14"/>
      <c r="HLK1153" s="14"/>
      <c r="HLL1153" s="14"/>
      <c r="HLM1153" s="14"/>
      <c r="HLN1153" s="14"/>
      <c r="HLO1153" s="14"/>
      <c r="HLP1153" s="14"/>
      <c r="HLQ1153" s="14"/>
      <c r="HLR1153" s="14"/>
      <c r="HLS1153" s="14"/>
      <c r="HLT1153" s="14"/>
      <c r="HLU1153" s="14"/>
      <c r="HLV1153" s="14"/>
      <c r="HLW1153" s="14"/>
      <c r="HLX1153" s="14"/>
      <c r="HLY1153" s="14"/>
      <c r="HLZ1153" s="14"/>
      <c r="HMA1153" s="14"/>
      <c r="HMB1153" s="14"/>
      <c r="HMC1153" s="14"/>
      <c r="HMD1153" s="14"/>
      <c r="HME1153" s="14"/>
      <c r="HMF1153" s="14"/>
      <c r="HMG1153" s="14"/>
      <c r="HMH1153" s="14"/>
      <c r="HMI1153" s="14"/>
      <c r="HMJ1153" s="14"/>
      <c r="HMK1153" s="14"/>
      <c r="HML1153" s="14"/>
      <c r="HMM1153" s="14"/>
      <c r="HMN1153" s="14"/>
      <c r="HMO1153" s="14"/>
      <c r="HMP1153" s="14"/>
      <c r="HMQ1153" s="14"/>
      <c r="HMR1153" s="14"/>
      <c r="HMS1153" s="14"/>
      <c r="HMT1153" s="14"/>
      <c r="HMU1153" s="14"/>
      <c r="HMV1153" s="14"/>
      <c r="HMW1153" s="14"/>
      <c r="HMX1153" s="14"/>
      <c r="HMY1153" s="14"/>
      <c r="HMZ1153" s="14"/>
      <c r="HNA1153" s="14"/>
      <c r="HNB1153" s="14"/>
      <c r="HNC1153" s="14"/>
      <c r="HND1153" s="14"/>
      <c r="HNE1153" s="14"/>
      <c r="HNF1153" s="14"/>
      <c r="HNG1153" s="14"/>
      <c r="HNH1153" s="14"/>
      <c r="HNI1153" s="14"/>
      <c r="HNJ1153" s="14"/>
      <c r="HNK1153" s="14"/>
      <c r="HNL1153" s="14"/>
      <c r="HNM1153" s="14"/>
      <c r="HNN1153" s="14"/>
      <c r="HNO1153" s="14"/>
      <c r="HNP1153" s="14"/>
      <c r="HNQ1153" s="14"/>
      <c r="HNR1153" s="14"/>
      <c r="HNS1153" s="14"/>
      <c r="HNT1153" s="14"/>
      <c r="HNU1153" s="14"/>
      <c r="HNV1153" s="14"/>
      <c r="HNW1153" s="14"/>
      <c r="HNX1153" s="14"/>
      <c r="HNY1153" s="14"/>
      <c r="HNZ1153" s="14"/>
      <c r="HOA1153" s="14"/>
      <c r="HOB1153" s="14"/>
      <c r="HOC1153" s="14"/>
      <c r="HOD1153" s="14"/>
      <c r="HOE1153" s="14"/>
      <c r="HOF1153" s="14"/>
      <c r="HOG1153" s="14"/>
      <c r="HOH1153" s="14"/>
      <c r="HOI1153" s="14"/>
      <c r="HOJ1153" s="14"/>
      <c r="HOK1153" s="14"/>
      <c r="HOL1153" s="14"/>
      <c r="HOM1153" s="14"/>
      <c r="HON1153" s="14"/>
      <c r="HOO1153" s="14"/>
      <c r="HOP1153" s="14"/>
      <c r="HOQ1153" s="14"/>
      <c r="HOR1153" s="14"/>
      <c r="HOS1153" s="14"/>
      <c r="HOT1153" s="14"/>
      <c r="HOU1153" s="14"/>
      <c r="HOV1153" s="14"/>
      <c r="HOW1153" s="14"/>
      <c r="HOX1153" s="14"/>
      <c r="HOY1153" s="14"/>
      <c r="HOZ1153" s="14"/>
      <c r="HPA1153" s="14"/>
      <c r="HPB1153" s="14"/>
      <c r="HPC1153" s="14"/>
      <c r="HPD1153" s="14"/>
      <c r="HPE1153" s="14"/>
      <c r="HPF1153" s="14"/>
      <c r="HPG1153" s="14"/>
      <c r="HPH1153" s="14"/>
      <c r="HPI1153" s="14"/>
      <c r="HPJ1153" s="14"/>
      <c r="HPK1153" s="14"/>
      <c r="HPL1153" s="14"/>
      <c r="HPM1153" s="14"/>
      <c r="HPN1153" s="14"/>
      <c r="HPO1153" s="14"/>
      <c r="HPP1153" s="14"/>
      <c r="HPQ1153" s="14"/>
      <c r="HPR1153" s="14"/>
      <c r="HPS1153" s="14"/>
      <c r="HPT1153" s="14"/>
      <c r="HPU1153" s="14"/>
      <c r="HPV1153" s="14"/>
      <c r="HPW1153" s="14"/>
      <c r="HPX1153" s="14"/>
      <c r="HPY1153" s="14"/>
      <c r="HPZ1153" s="14"/>
      <c r="HQA1153" s="14"/>
      <c r="HQB1153" s="14"/>
      <c r="HQC1153" s="14"/>
      <c r="HQD1153" s="14"/>
      <c r="HQE1153" s="14"/>
      <c r="HQF1153" s="14"/>
      <c r="HQG1153" s="14"/>
      <c r="HQH1153" s="14"/>
      <c r="HQI1153" s="14"/>
      <c r="HQJ1153" s="14"/>
      <c r="HQK1153" s="14"/>
      <c r="HQL1153" s="14"/>
      <c r="HQM1153" s="14"/>
      <c r="HQN1153" s="14"/>
      <c r="HQO1153" s="14"/>
      <c r="HQP1153" s="14"/>
      <c r="HQQ1153" s="14"/>
      <c r="HQR1153" s="14"/>
      <c r="HQS1153" s="14"/>
      <c r="HQT1153" s="14"/>
      <c r="HQU1153" s="14"/>
      <c r="HQV1153" s="14"/>
      <c r="HQW1153" s="14"/>
      <c r="HQX1153" s="14"/>
      <c r="HQY1153" s="14"/>
      <c r="HQZ1153" s="14"/>
      <c r="HRA1153" s="14"/>
      <c r="HRB1153" s="14"/>
      <c r="HRC1153" s="14"/>
      <c r="HRD1153" s="14"/>
      <c r="HRE1153" s="14"/>
      <c r="HRF1153" s="14"/>
      <c r="HRG1153" s="14"/>
      <c r="HRH1153" s="14"/>
      <c r="HRI1153" s="14"/>
      <c r="HRJ1153" s="14"/>
      <c r="HRK1153" s="14"/>
      <c r="HRL1153" s="14"/>
      <c r="HRM1153" s="14"/>
      <c r="HRN1153" s="14"/>
      <c r="HRO1153" s="14"/>
      <c r="HRP1153" s="14"/>
      <c r="HRQ1153" s="14"/>
      <c r="HRR1153" s="14"/>
      <c r="HRS1153" s="14"/>
      <c r="HRT1153" s="14"/>
      <c r="HRU1153" s="14"/>
      <c r="HRV1153" s="14"/>
      <c r="HRW1153" s="14"/>
      <c r="HRX1153" s="14"/>
      <c r="HRY1153" s="14"/>
      <c r="HRZ1153" s="14"/>
      <c r="HSA1153" s="14"/>
      <c r="HSB1153" s="14"/>
      <c r="HSC1153" s="14"/>
      <c r="HSD1153" s="14"/>
      <c r="HSE1153" s="14"/>
      <c r="HSF1153" s="14"/>
      <c r="HSG1153" s="14"/>
      <c r="HSH1153" s="14"/>
      <c r="HSI1153" s="14"/>
      <c r="HSJ1153" s="14"/>
      <c r="HSK1153" s="14"/>
      <c r="HSL1153" s="14"/>
      <c r="HSM1153" s="14"/>
      <c r="HSN1153" s="14"/>
      <c r="HSO1153" s="14"/>
      <c r="HSP1153" s="14"/>
      <c r="HSQ1153" s="14"/>
      <c r="HSR1153" s="14"/>
      <c r="HSS1153" s="14"/>
      <c r="HST1153" s="14"/>
      <c r="HSU1153" s="14"/>
      <c r="HSV1153" s="14"/>
      <c r="HSW1153" s="14"/>
      <c r="HSX1153" s="14"/>
      <c r="HSY1153" s="14"/>
      <c r="HSZ1153" s="14"/>
      <c r="HTA1153" s="14"/>
      <c r="HTB1153" s="14"/>
      <c r="HTC1153" s="14"/>
      <c r="HTD1153" s="14"/>
      <c r="HTE1153" s="14"/>
      <c r="HTF1153" s="14"/>
      <c r="HTG1153" s="14"/>
      <c r="HTH1153" s="14"/>
      <c r="HTI1153" s="14"/>
      <c r="HTJ1153" s="14"/>
      <c r="HTK1153" s="14"/>
      <c r="HTL1153" s="14"/>
      <c r="HTM1153" s="14"/>
      <c r="HTN1153" s="14"/>
      <c r="HTO1153" s="14"/>
      <c r="HTP1153" s="14"/>
      <c r="HTQ1153" s="14"/>
      <c r="HTR1153" s="14"/>
      <c r="HTS1153" s="14"/>
      <c r="HTT1153" s="14"/>
      <c r="HTU1153" s="14"/>
      <c r="HTV1153" s="14"/>
      <c r="HTW1153" s="14"/>
      <c r="HTX1153" s="14"/>
      <c r="HTY1153" s="14"/>
      <c r="HTZ1153" s="14"/>
      <c r="HUA1153" s="14"/>
      <c r="HUB1153" s="14"/>
      <c r="HUC1153" s="14"/>
      <c r="HUD1153" s="14"/>
      <c r="HUE1153" s="14"/>
      <c r="HUF1153" s="14"/>
      <c r="HUG1153" s="14"/>
      <c r="HUH1153" s="14"/>
      <c r="HUI1153" s="14"/>
      <c r="HUJ1153" s="14"/>
      <c r="HUK1153" s="14"/>
      <c r="HUL1153" s="14"/>
      <c r="HUM1153" s="14"/>
      <c r="HUN1153" s="14"/>
      <c r="HUO1153" s="14"/>
      <c r="HUP1153" s="14"/>
      <c r="HUQ1153" s="14"/>
      <c r="HUR1153" s="14"/>
      <c r="HUS1153" s="14"/>
      <c r="HUT1153" s="14"/>
      <c r="HUU1153" s="14"/>
      <c r="HUV1153" s="14"/>
      <c r="HUW1153" s="14"/>
      <c r="HUX1153" s="14"/>
      <c r="HUY1153" s="14"/>
      <c r="HUZ1153" s="14"/>
      <c r="HVA1153" s="14"/>
      <c r="HVB1153" s="14"/>
      <c r="HVC1153" s="14"/>
      <c r="HVD1153" s="14"/>
      <c r="HVE1153" s="14"/>
      <c r="HVF1153" s="14"/>
      <c r="HVG1153" s="14"/>
      <c r="HVH1153" s="14"/>
      <c r="HVI1153" s="14"/>
      <c r="HVJ1153" s="14"/>
      <c r="HVK1153" s="14"/>
      <c r="HVL1153" s="14"/>
      <c r="HVM1153" s="14"/>
      <c r="HVN1153" s="14"/>
      <c r="HVO1153" s="14"/>
      <c r="HVP1153" s="14"/>
      <c r="HVQ1153" s="14"/>
      <c r="HVR1153" s="14"/>
      <c r="HVS1153" s="14"/>
      <c r="HVT1153" s="14"/>
      <c r="HVU1153" s="14"/>
      <c r="HVV1153" s="14"/>
      <c r="HVW1153" s="14"/>
      <c r="HVX1153" s="14"/>
      <c r="HVY1153" s="14"/>
      <c r="HVZ1153" s="14"/>
      <c r="HWA1153" s="14"/>
      <c r="HWB1153" s="14"/>
      <c r="HWC1153" s="14"/>
      <c r="HWD1153" s="14"/>
      <c r="HWE1153" s="14"/>
      <c r="HWF1153" s="14"/>
      <c r="HWG1153" s="14"/>
      <c r="HWH1153" s="14"/>
      <c r="HWI1153" s="14"/>
      <c r="HWJ1153" s="14"/>
      <c r="HWK1153" s="14"/>
      <c r="HWL1153" s="14"/>
      <c r="HWM1153" s="14"/>
      <c r="HWN1153" s="14"/>
      <c r="HWO1153" s="14"/>
      <c r="HWP1153" s="14"/>
      <c r="HWQ1153" s="14"/>
      <c r="HWR1153" s="14"/>
      <c r="HWS1153" s="14"/>
      <c r="HWT1153" s="14"/>
      <c r="HWU1153" s="14"/>
      <c r="HWV1153" s="14"/>
      <c r="HWW1153" s="14"/>
      <c r="HWX1153" s="14"/>
      <c r="HWY1153" s="14"/>
      <c r="HWZ1153" s="14"/>
      <c r="HXA1153" s="14"/>
      <c r="HXB1153" s="14"/>
      <c r="HXC1153" s="14"/>
      <c r="HXD1153" s="14"/>
      <c r="HXE1153" s="14"/>
      <c r="HXF1153" s="14"/>
      <c r="HXG1153" s="14"/>
      <c r="HXH1153" s="14"/>
      <c r="HXI1153" s="14"/>
      <c r="HXJ1153" s="14"/>
      <c r="HXK1153" s="14"/>
      <c r="HXL1153" s="14"/>
      <c r="HXM1153" s="14"/>
      <c r="HXN1153" s="14"/>
      <c r="HXO1153" s="14"/>
      <c r="HXP1153" s="14"/>
      <c r="HXQ1153" s="14"/>
      <c r="HXR1153" s="14"/>
      <c r="HXS1153" s="14"/>
      <c r="HXT1153" s="14"/>
      <c r="HXU1153" s="14"/>
      <c r="HXV1153" s="14"/>
      <c r="HXW1153" s="14"/>
      <c r="HXX1153" s="14"/>
      <c r="HXY1153" s="14"/>
      <c r="HXZ1153" s="14"/>
      <c r="HYA1153" s="14"/>
      <c r="HYB1153" s="14"/>
      <c r="HYC1153" s="14"/>
      <c r="HYD1153" s="14"/>
      <c r="HYE1153" s="14"/>
      <c r="HYF1153" s="14"/>
      <c r="HYG1153" s="14"/>
      <c r="HYH1153" s="14"/>
      <c r="HYI1153" s="14"/>
      <c r="HYJ1153" s="14"/>
      <c r="HYK1153" s="14"/>
      <c r="HYL1153" s="14"/>
      <c r="HYM1153" s="14"/>
      <c r="HYN1153" s="14"/>
      <c r="HYO1153" s="14"/>
      <c r="HYP1153" s="14"/>
      <c r="HYQ1153" s="14"/>
      <c r="HYR1153" s="14"/>
      <c r="HYS1153" s="14"/>
      <c r="HYT1153" s="14"/>
      <c r="HYU1153" s="14"/>
      <c r="HYV1153" s="14"/>
      <c r="HYW1153" s="14"/>
      <c r="HYX1153" s="14"/>
      <c r="HYY1153" s="14"/>
      <c r="HYZ1153" s="14"/>
      <c r="HZA1153" s="14"/>
      <c r="HZB1153" s="14"/>
      <c r="HZC1153" s="14"/>
      <c r="HZD1153" s="14"/>
      <c r="HZE1153" s="14"/>
      <c r="HZF1153" s="14"/>
      <c r="HZG1153" s="14"/>
      <c r="HZH1153" s="14"/>
      <c r="HZI1153" s="14"/>
      <c r="HZJ1153" s="14"/>
      <c r="HZK1153" s="14"/>
      <c r="HZL1153" s="14"/>
      <c r="HZM1153" s="14"/>
      <c r="HZN1153" s="14"/>
      <c r="HZO1153" s="14"/>
      <c r="HZP1153" s="14"/>
      <c r="HZQ1153" s="14"/>
      <c r="HZR1153" s="14"/>
      <c r="HZS1153" s="14"/>
      <c r="HZT1153" s="14"/>
      <c r="HZU1153" s="14"/>
      <c r="HZV1153" s="14"/>
      <c r="HZW1153" s="14"/>
      <c r="HZX1153" s="14"/>
      <c r="HZY1153" s="14"/>
      <c r="HZZ1153" s="14"/>
      <c r="IAA1153" s="14"/>
      <c r="IAB1153" s="14"/>
      <c r="IAC1153" s="14"/>
      <c r="IAD1153" s="14"/>
      <c r="IAE1153" s="14"/>
      <c r="IAF1153" s="14"/>
      <c r="IAG1153" s="14"/>
      <c r="IAH1153" s="14"/>
      <c r="IAI1153" s="14"/>
      <c r="IAJ1153" s="14"/>
      <c r="IAK1153" s="14"/>
      <c r="IAL1153" s="14"/>
      <c r="IAM1153" s="14"/>
      <c r="IAN1153" s="14"/>
      <c r="IAO1153" s="14"/>
      <c r="IAP1153" s="14"/>
      <c r="IAQ1153" s="14"/>
      <c r="IAR1153" s="14"/>
      <c r="IAS1153" s="14"/>
      <c r="IAT1153" s="14"/>
      <c r="IAU1153" s="14"/>
      <c r="IAV1153" s="14"/>
      <c r="IAW1153" s="14"/>
      <c r="IAX1153" s="14"/>
      <c r="IAY1153" s="14"/>
      <c r="IAZ1153" s="14"/>
      <c r="IBA1153" s="14"/>
      <c r="IBB1153" s="14"/>
      <c r="IBC1153" s="14"/>
      <c r="IBD1153" s="14"/>
      <c r="IBE1153" s="14"/>
      <c r="IBF1153" s="14"/>
      <c r="IBG1153" s="14"/>
      <c r="IBH1153" s="14"/>
      <c r="IBI1153" s="14"/>
      <c r="IBJ1153" s="14"/>
      <c r="IBK1153" s="14"/>
      <c r="IBL1153" s="14"/>
      <c r="IBM1153" s="14"/>
      <c r="IBN1153" s="14"/>
      <c r="IBO1153" s="14"/>
      <c r="IBP1153" s="14"/>
      <c r="IBQ1153" s="14"/>
      <c r="IBR1153" s="14"/>
      <c r="IBS1153" s="14"/>
      <c r="IBT1153" s="14"/>
      <c r="IBU1153" s="14"/>
      <c r="IBV1153" s="14"/>
      <c r="IBW1153" s="14"/>
      <c r="IBX1153" s="14"/>
      <c r="IBY1153" s="14"/>
      <c r="IBZ1153" s="14"/>
      <c r="ICA1153" s="14"/>
      <c r="ICB1153" s="14"/>
      <c r="ICC1153" s="14"/>
      <c r="ICD1153" s="14"/>
      <c r="ICE1153" s="14"/>
      <c r="ICF1153" s="14"/>
      <c r="ICG1153" s="14"/>
      <c r="ICH1153" s="14"/>
      <c r="ICI1153" s="14"/>
      <c r="ICJ1153" s="14"/>
      <c r="ICK1153" s="14"/>
      <c r="ICL1153" s="14"/>
      <c r="ICM1153" s="14"/>
      <c r="ICN1153" s="14"/>
      <c r="ICO1153" s="14"/>
      <c r="ICP1153" s="14"/>
      <c r="ICQ1153" s="14"/>
      <c r="ICR1153" s="14"/>
      <c r="ICS1153" s="14"/>
      <c r="ICT1153" s="14"/>
      <c r="ICU1153" s="14"/>
      <c r="ICV1153" s="14"/>
      <c r="ICW1153" s="14"/>
      <c r="ICX1153" s="14"/>
      <c r="ICY1153" s="14"/>
      <c r="ICZ1153" s="14"/>
      <c r="IDA1153" s="14"/>
      <c r="IDB1153" s="14"/>
      <c r="IDC1153" s="14"/>
      <c r="IDD1153" s="14"/>
      <c r="IDE1153" s="14"/>
      <c r="IDF1153" s="14"/>
      <c r="IDG1153" s="14"/>
      <c r="IDH1153" s="14"/>
      <c r="IDI1153" s="14"/>
      <c r="IDJ1153" s="14"/>
      <c r="IDK1153" s="14"/>
      <c r="IDL1153" s="14"/>
      <c r="IDM1153" s="14"/>
      <c r="IDN1153" s="14"/>
      <c r="IDO1153" s="14"/>
      <c r="IDP1153" s="14"/>
      <c r="IDQ1153" s="14"/>
      <c r="IDR1153" s="14"/>
      <c r="IDS1153" s="14"/>
      <c r="IDT1153" s="14"/>
      <c r="IDU1153" s="14"/>
      <c r="IDV1153" s="14"/>
      <c r="IDW1153" s="14"/>
      <c r="IDX1153" s="14"/>
      <c r="IDY1153" s="14"/>
      <c r="IDZ1153" s="14"/>
      <c r="IEA1153" s="14"/>
      <c r="IEB1153" s="14"/>
      <c r="IEC1153" s="14"/>
      <c r="IED1153" s="14"/>
      <c r="IEE1153" s="14"/>
      <c r="IEF1153" s="14"/>
      <c r="IEG1153" s="14"/>
      <c r="IEH1153" s="14"/>
      <c r="IEI1153" s="14"/>
      <c r="IEJ1153" s="14"/>
      <c r="IEK1153" s="14"/>
      <c r="IEL1153" s="14"/>
      <c r="IEM1153" s="14"/>
      <c r="IEN1153" s="14"/>
      <c r="IEO1153" s="14"/>
      <c r="IEP1153" s="14"/>
      <c r="IEQ1153" s="14"/>
      <c r="IER1153" s="14"/>
      <c r="IES1153" s="14"/>
      <c r="IET1153" s="14"/>
      <c r="IEU1153" s="14"/>
      <c r="IEV1153" s="14"/>
      <c r="IEW1153" s="14"/>
      <c r="IEX1153" s="14"/>
      <c r="IEY1153" s="14"/>
      <c r="IEZ1153" s="14"/>
      <c r="IFA1153" s="14"/>
      <c r="IFB1153" s="14"/>
      <c r="IFC1153" s="14"/>
      <c r="IFD1153" s="14"/>
      <c r="IFE1153" s="14"/>
      <c r="IFF1153" s="14"/>
      <c r="IFG1153" s="14"/>
      <c r="IFH1153" s="14"/>
      <c r="IFI1153" s="14"/>
      <c r="IFJ1153" s="14"/>
      <c r="IFK1153" s="14"/>
      <c r="IFL1153" s="14"/>
      <c r="IFM1153" s="14"/>
      <c r="IFN1153" s="14"/>
      <c r="IFO1153" s="14"/>
      <c r="IFP1153" s="14"/>
      <c r="IFQ1153" s="14"/>
      <c r="IFR1153" s="14"/>
      <c r="IFS1153" s="14"/>
      <c r="IFT1153" s="14"/>
      <c r="IFU1153" s="14"/>
      <c r="IFV1153" s="14"/>
      <c r="IFW1153" s="14"/>
      <c r="IFX1153" s="14"/>
      <c r="IFY1153" s="14"/>
      <c r="IFZ1153" s="14"/>
      <c r="IGA1153" s="14"/>
      <c r="IGB1153" s="14"/>
      <c r="IGC1153" s="14"/>
      <c r="IGD1153" s="14"/>
      <c r="IGE1153" s="14"/>
      <c r="IGF1153" s="14"/>
      <c r="IGG1153" s="14"/>
      <c r="IGH1153" s="14"/>
      <c r="IGI1153" s="14"/>
      <c r="IGJ1153" s="14"/>
      <c r="IGK1153" s="14"/>
      <c r="IGL1153" s="14"/>
      <c r="IGM1153" s="14"/>
      <c r="IGN1153" s="14"/>
      <c r="IGO1153" s="14"/>
      <c r="IGP1153" s="14"/>
      <c r="IGQ1153" s="14"/>
      <c r="IGR1153" s="14"/>
      <c r="IGS1153" s="14"/>
      <c r="IGT1153" s="14"/>
      <c r="IGU1153" s="14"/>
      <c r="IGV1153" s="14"/>
      <c r="IGW1153" s="14"/>
      <c r="IGX1153" s="14"/>
      <c r="IGY1153" s="14"/>
      <c r="IGZ1153" s="14"/>
      <c r="IHA1153" s="14"/>
      <c r="IHB1153" s="14"/>
      <c r="IHC1153" s="14"/>
      <c r="IHD1153" s="14"/>
      <c r="IHE1153" s="14"/>
      <c r="IHF1153" s="14"/>
      <c r="IHG1153" s="14"/>
      <c r="IHH1153" s="14"/>
      <c r="IHI1153" s="14"/>
      <c r="IHJ1153" s="14"/>
      <c r="IHK1153" s="14"/>
      <c r="IHL1153" s="14"/>
      <c r="IHM1153" s="14"/>
      <c r="IHN1153" s="14"/>
      <c r="IHO1153" s="14"/>
      <c r="IHP1153" s="14"/>
      <c r="IHQ1153" s="14"/>
      <c r="IHR1153" s="14"/>
      <c r="IHS1153" s="14"/>
      <c r="IHT1153" s="14"/>
      <c r="IHU1153" s="14"/>
      <c r="IHV1153" s="14"/>
      <c r="IHW1153" s="14"/>
      <c r="IHX1153" s="14"/>
      <c r="IHY1153" s="14"/>
      <c r="IHZ1153" s="14"/>
      <c r="IIA1153" s="14"/>
      <c r="IIB1153" s="14"/>
      <c r="IIC1153" s="14"/>
      <c r="IID1153" s="14"/>
      <c r="IIE1153" s="14"/>
      <c r="IIF1153" s="14"/>
      <c r="IIG1153" s="14"/>
      <c r="IIH1153" s="14"/>
      <c r="III1153" s="14"/>
      <c r="IIJ1153" s="14"/>
      <c r="IIK1153" s="14"/>
      <c r="IIL1153" s="14"/>
      <c r="IIM1153" s="14"/>
      <c r="IIN1153" s="14"/>
      <c r="IIO1153" s="14"/>
      <c r="IIP1153" s="14"/>
      <c r="IIQ1153" s="14"/>
      <c r="IIR1153" s="14"/>
      <c r="IIS1153" s="14"/>
      <c r="IIT1153" s="14"/>
      <c r="IIU1153" s="14"/>
      <c r="IIV1153" s="14"/>
      <c r="IIW1153" s="14"/>
      <c r="IIX1153" s="14"/>
      <c r="IIY1153" s="14"/>
      <c r="IIZ1153" s="14"/>
      <c r="IJA1153" s="14"/>
      <c r="IJB1153" s="14"/>
      <c r="IJC1153" s="14"/>
      <c r="IJD1153" s="14"/>
      <c r="IJE1153" s="14"/>
      <c r="IJF1153" s="14"/>
      <c r="IJG1153" s="14"/>
      <c r="IJH1153" s="14"/>
      <c r="IJI1153" s="14"/>
      <c r="IJJ1153" s="14"/>
      <c r="IJK1153" s="14"/>
      <c r="IJL1153" s="14"/>
      <c r="IJM1153" s="14"/>
      <c r="IJN1153" s="14"/>
      <c r="IJO1153" s="14"/>
      <c r="IJP1153" s="14"/>
      <c r="IJQ1153" s="14"/>
      <c r="IJR1153" s="14"/>
      <c r="IJS1153" s="14"/>
      <c r="IJT1153" s="14"/>
      <c r="IJU1153" s="14"/>
      <c r="IJV1153" s="14"/>
      <c r="IJW1153" s="14"/>
      <c r="IJX1153" s="14"/>
      <c r="IJY1153" s="14"/>
      <c r="IJZ1153" s="14"/>
      <c r="IKA1153" s="14"/>
      <c r="IKB1153" s="14"/>
      <c r="IKC1153" s="14"/>
      <c r="IKD1153" s="14"/>
      <c r="IKE1153" s="14"/>
      <c r="IKF1153" s="14"/>
      <c r="IKG1153" s="14"/>
      <c r="IKH1153" s="14"/>
      <c r="IKI1153" s="14"/>
      <c r="IKJ1153" s="14"/>
      <c r="IKK1153" s="14"/>
      <c r="IKL1153" s="14"/>
      <c r="IKM1153" s="14"/>
      <c r="IKN1153" s="14"/>
      <c r="IKO1153" s="14"/>
      <c r="IKP1153" s="14"/>
      <c r="IKQ1153" s="14"/>
      <c r="IKR1153" s="14"/>
      <c r="IKS1153" s="14"/>
      <c r="IKT1153" s="14"/>
      <c r="IKU1153" s="14"/>
      <c r="IKV1153" s="14"/>
      <c r="IKW1153" s="14"/>
      <c r="IKX1153" s="14"/>
      <c r="IKY1153" s="14"/>
      <c r="IKZ1153" s="14"/>
      <c r="ILA1153" s="14"/>
      <c r="ILB1153" s="14"/>
      <c r="ILC1153" s="14"/>
      <c r="ILD1153" s="14"/>
      <c r="ILE1153" s="14"/>
      <c r="ILF1153" s="14"/>
      <c r="ILG1153" s="14"/>
      <c r="ILH1153" s="14"/>
      <c r="ILI1153" s="14"/>
      <c r="ILJ1153" s="14"/>
      <c r="ILK1153" s="14"/>
      <c r="ILL1153" s="14"/>
      <c r="ILM1153" s="14"/>
      <c r="ILN1153" s="14"/>
      <c r="ILO1153" s="14"/>
      <c r="ILP1153" s="14"/>
      <c r="ILQ1153" s="14"/>
      <c r="ILR1153" s="14"/>
      <c r="ILS1153" s="14"/>
      <c r="ILT1153" s="14"/>
      <c r="ILU1153" s="14"/>
      <c r="ILV1153" s="14"/>
      <c r="ILW1153" s="14"/>
      <c r="ILX1153" s="14"/>
      <c r="ILY1153" s="14"/>
      <c r="ILZ1153" s="14"/>
      <c r="IMA1153" s="14"/>
      <c r="IMB1153" s="14"/>
      <c r="IMC1153" s="14"/>
      <c r="IMD1153" s="14"/>
      <c r="IME1153" s="14"/>
      <c r="IMF1153" s="14"/>
      <c r="IMG1153" s="14"/>
      <c r="IMH1153" s="14"/>
      <c r="IMI1153" s="14"/>
      <c r="IMJ1153" s="14"/>
      <c r="IMK1153" s="14"/>
      <c r="IML1153" s="14"/>
      <c r="IMM1153" s="14"/>
      <c r="IMN1153" s="14"/>
      <c r="IMO1153" s="14"/>
      <c r="IMP1153" s="14"/>
      <c r="IMQ1153" s="14"/>
      <c r="IMR1153" s="14"/>
      <c r="IMS1153" s="14"/>
      <c r="IMT1153" s="14"/>
      <c r="IMU1153" s="14"/>
      <c r="IMV1153" s="14"/>
      <c r="IMW1153" s="14"/>
      <c r="IMX1153" s="14"/>
      <c r="IMY1153" s="14"/>
      <c r="IMZ1153" s="14"/>
      <c r="INA1153" s="14"/>
      <c r="INB1153" s="14"/>
      <c r="INC1153" s="14"/>
      <c r="IND1153" s="14"/>
      <c r="INE1153" s="14"/>
      <c r="INF1153" s="14"/>
      <c r="ING1153" s="14"/>
      <c r="INH1153" s="14"/>
      <c r="INI1153" s="14"/>
      <c r="INJ1153" s="14"/>
      <c r="INK1153" s="14"/>
      <c r="INL1153" s="14"/>
      <c r="INM1153" s="14"/>
      <c r="INN1153" s="14"/>
      <c r="INO1153" s="14"/>
      <c r="INP1153" s="14"/>
      <c r="INQ1153" s="14"/>
      <c r="INR1153" s="14"/>
      <c r="INS1153" s="14"/>
      <c r="INT1153" s="14"/>
      <c r="INU1153" s="14"/>
      <c r="INV1153" s="14"/>
      <c r="INW1153" s="14"/>
      <c r="INX1153" s="14"/>
      <c r="INY1153" s="14"/>
      <c r="INZ1153" s="14"/>
      <c r="IOA1153" s="14"/>
      <c r="IOB1153" s="14"/>
      <c r="IOC1153" s="14"/>
      <c r="IOD1153" s="14"/>
      <c r="IOE1153" s="14"/>
      <c r="IOF1153" s="14"/>
      <c r="IOG1153" s="14"/>
      <c r="IOH1153" s="14"/>
      <c r="IOI1153" s="14"/>
      <c r="IOJ1153" s="14"/>
      <c r="IOK1153" s="14"/>
      <c r="IOL1153" s="14"/>
      <c r="IOM1153" s="14"/>
      <c r="ION1153" s="14"/>
      <c r="IOO1153" s="14"/>
      <c r="IOP1153" s="14"/>
      <c r="IOQ1153" s="14"/>
      <c r="IOR1153" s="14"/>
      <c r="IOS1153" s="14"/>
      <c r="IOT1153" s="14"/>
      <c r="IOU1153" s="14"/>
      <c r="IOV1153" s="14"/>
      <c r="IOW1153" s="14"/>
      <c r="IOX1153" s="14"/>
      <c r="IOY1153" s="14"/>
      <c r="IOZ1153" s="14"/>
      <c r="IPA1153" s="14"/>
      <c r="IPB1153" s="14"/>
      <c r="IPC1153" s="14"/>
      <c r="IPD1153" s="14"/>
      <c r="IPE1153" s="14"/>
      <c r="IPF1153" s="14"/>
      <c r="IPG1153" s="14"/>
      <c r="IPH1153" s="14"/>
      <c r="IPI1153" s="14"/>
      <c r="IPJ1153" s="14"/>
      <c r="IPK1153" s="14"/>
      <c r="IPL1153" s="14"/>
      <c r="IPM1153" s="14"/>
      <c r="IPN1153" s="14"/>
      <c r="IPO1153" s="14"/>
      <c r="IPP1153" s="14"/>
      <c r="IPQ1153" s="14"/>
      <c r="IPR1153" s="14"/>
      <c r="IPS1153" s="14"/>
      <c r="IPT1153" s="14"/>
      <c r="IPU1153" s="14"/>
      <c r="IPV1153" s="14"/>
      <c r="IPW1153" s="14"/>
      <c r="IPX1153" s="14"/>
      <c r="IPY1153" s="14"/>
      <c r="IPZ1153" s="14"/>
      <c r="IQA1153" s="14"/>
      <c r="IQB1153" s="14"/>
      <c r="IQC1153" s="14"/>
      <c r="IQD1153" s="14"/>
      <c r="IQE1153" s="14"/>
      <c r="IQF1153" s="14"/>
      <c r="IQG1153" s="14"/>
      <c r="IQH1153" s="14"/>
      <c r="IQI1153" s="14"/>
      <c r="IQJ1153" s="14"/>
      <c r="IQK1153" s="14"/>
      <c r="IQL1153" s="14"/>
      <c r="IQM1153" s="14"/>
      <c r="IQN1153" s="14"/>
      <c r="IQO1153" s="14"/>
      <c r="IQP1153" s="14"/>
      <c r="IQQ1153" s="14"/>
      <c r="IQR1153" s="14"/>
      <c r="IQS1153" s="14"/>
      <c r="IQT1153" s="14"/>
      <c r="IQU1153" s="14"/>
      <c r="IQV1153" s="14"/>
      <c r="IQW1153" s="14"/>
      <c r="IQX1153" s="14"/>
      <c r="IQY1153" s="14"/>
      <c r="IQZ1153" s="14"/>
      <c r="IRA1153" s="14"/>
      <c r="IRB1153" s="14"/>
      <c r="IRC1153" s="14"/>
      <c r="IRD1153" s="14"/>
      <c r="IRE1153" s="14"/>
      <c r="IRF1153" s="14"/>
      <c r="IRG1153" s="14"/>
      <c r="IRH1153" s="14"/>
      <c r="IRI1153" s="14"/>
      <c r="IRJ1153" s="14"/>
      <c r="IRK1153" s="14"/>
      <c r="IRL1153" s="14"/>
      <c r="IRM1153" s="14"/>
      <c r="IRN1153" s="14"/>
      <c r="IRO1153" s="14"/>
      <c r="IRP1153" s="14"/>
      <c r="IRQ1153" s="14"/>
      <c r="IRR1153" s="14"/>
      <c r="IRS1153" s="14"/>
      <c r="IRT1153" s="14"/>
      <c r="IRU1153" s="14"/>
      <c r="IRV1153" s="14"/>
      <c r="IRW1153" s="14"/>
      <c r="IRX1153" s="14"/>
      <c r="IRY1153" s="14"/>
      <c r="IRZ1153" s="14"/>
      <c r="ISA1153" s="14"/>
      <c r="ISB1153" s="14"/>
      <c r="ISC1153" s="14"/>
      <c r="ISD1153" s="14"/>
      <c r="ISE1153" s="14"/>
      <c r="ISF1153" s="14"/>
      <c r="ISG1153" s="14"/>
      <c r="ISH1153" s="14"/>
      <c r="ISI1153" s="14"/>
      <c r="ISJ1153" s="14"/>
      <c r="ISK1153" s="14"/>
      <c r="ISL1153" s="14"/>
      <c r="ISM1153" s="14"/>
      <c r="ISN1153" s="14"/>
      <c r="ISO1153" s="14"/>
      <c r="ISP1153" s="14"/>
      <c r="ISQ1153" s="14"/>
      <c r="ISR1153" s="14"/>
      <c r="ISS1153" s="14"/>
      <c r="IST1153" s="14"/>
      <c r="ISU1153" s="14"/>
      <c r="ISV1153" s="14"/>
      <c r="ISW1153" s="14"/>
      <c r="ISX1153" s="14"/>
      <c r="ISY1153" s="14"/>
      <c r="ISZ1153" s="14"/>
      <c r="ITA1153" s="14"/>
      <c r="ITB1153" s="14"/>
      <c r="ITC1153" s="14"/>
      <c r="ITD1153" s="14"/>
      <c r="ITE1153" s="14"/>
      <c r="ITF1153" s="14"/>
      <c r="ITG1153" s="14"/>
      <c r="ITH1153" s="14"/>
      <c r="ITI1153" s="14"/>
      <c r="ITJ1153" s="14"/>
      <c r="ITK1153" s="14"/>
      <c r="ITL1153" s="14"/>
      <c r="ITM1153" s="14"/>
      <c r="ITN1153" s="14"/>
      <c r="ITO1153" s="14"/>
      <c r="ITP1153" s="14"/>
      <c r="ITQ1153" s="14"/>
      <c r="ITR1153" s="14"/>
      <c r="ITS1153" s="14"/>
      <c r="ITT1153" s="14"/>
      <c r="ITU1153" s="14"/>
      <c r="ITV1153" s="14"/>
      <c r="ITW1153" s="14"/>
      <c r="ITX1153" s="14"/>
      <c r="ITY1153" s="14"/>
      <c r="ITZ1153" s="14"/>
      <c r="IUA1153" s="14"/>
      <c r="IUB1153" s="14"/>
      <c r="IUC1153" s="14"/>
      <c r="IUD1153" s="14"/>
      <c r="IUE1153" s="14"/>
      <c r="IUF1153" s="14"/>
      <c r="IUG1153" s="14"/>
      <c r="IUH1153" s="14"/>
      <c r="IUI1153" s="14"/>
      <c r="IUJ1153" s="14"/>
      <c r="IUK1153" s="14"/>
      <c r="IUL1153" s="14"/>
      <c r="IUM1153" s="14"/>
      <c r="IUN1153" s="14"/>
      <c r="IUO1153" s="14"/>
      <c r="IUP1153" s="14"/>
      <c r="IUQ1153" s="14"/>
      <c r="IUR1153" s="14"/>
      <c r="IUS1153" s="14"/>
      <c r="IUT1153" s="14"/>
      <c r="IUU1153" s="14"/>
      <c r="IUV1153" s="14"/>
      <c r="IUW1153" s="14"/>
      <c r="IUX1153" s="14"/>
      <c r="IUY1153" s="14"/>
      <c r="IUZ1153" s="14"/>
      <c r="IVA1153" s="14"/>
      <c r="IVB1153" s="14"/>
      <c r="IVC1153" s="14"/>
      <c r="IVD1153" s="14"/>
      <c r="IVE1153" s="14"/>
      <c r="IVF1153" s="14"/>
      <c r="IVG1153" s="14"/>
      <c r="IVH1153" s="14"/>
      <c r="IVI1153" s="14"/>
      <c r="IVJ1153" s="14"/>
      <c r="IVK1153" s="14"/>
      <c r="IVL1153" s="14"/>
      <c r="IVM1153" s="14"/>
      <c r="IVN1153" s="14"/>
      <c r="IVO1153" s="14"/>
      <c r="IVP1153" s="14"/>
      <c r="IVQ1153" s="14"/>
      <c r="IVR1153" s="14"/>
      <c r="IVS1153" s="14"/>
      <c r="IVT1153" s="14"/>
      <c r="IVU1153" s="14"/>
      <c r="IVV1153" s="14"/>
      <c r="IVW1153" s="14"/>
      <c r="IVX1153" s="14"/>
      <c r="IVY1153" s="14"/>
      <c r="IVZ1153" s="14"/>
      <c r="IWA1153" s="14"/>
      <c r="IWB1153" s="14"/>
      <c r="IWC1153" s="14"/>
      <c r="IWD1153" s="14"/>
      <c r="IWE1153" s="14"/>
      <c r="IWF1153" s="14"/>
      <c r="IWG1153" s="14"/>
      <c r="IWH1153" s="14"/>
      <c r="IWI1153" s="14"/>
      <c r="IWJ1153" s="14"/>
      <c r="IWK1153" s="14"/>
      <c r="IWL1153" s="14"/>
      <c r="IWM1153" s="14"/>
      <c r="IWN1153" s="14"/>
      <c r="IWO1153" s="14"/>
      <c r="IWP1153" s="14"/>
      <c r="IWQ1153" s="14"/>
      <c r="IWR1153" s="14"/>
      <c r="IWS1153" s="14"/>
      <c r="IWT1153" s="14"/>
      <c r="IWU1153" s="14"/>
      <c r="IWV1153" s="14"/>
      <c r="IWW1153" s="14"/>
      <c r="IWX1153" s="14"/>
      <c r="IWY1153" s="14"/>
      <c r="IWZ1153" s="14"/>
      <c r="IXA1153" s="14"/>
      <c r="IXB1153" s="14"/>
      <c r="IXC1153" s="14"/>
      <c r="IXD1153" s="14"/>
      <c r="IXE1153" s="14"/>
      <c r="IXF1153" s="14"/>
      <c r="IXG1153" s="14"/>
      <c r="IXH1153" s="14"/>
      <c r="IXI1153" s="14"/>
      <c r="IXJ1153" s="14"/>
      <c r="IXK1153" s="14"/>
      <c r="IXL1153" s="14"/>
      <c r="IXM1153" s="14"/>
      <c r="IXN1153" s="14"/>
      <c r="IXO1153" s="14"/>
      <c r="IXP1153" s="14"/>
      <c r="IXQ1153" s="14"/>
      <c r="IXR1153" s="14"/>
      <c r="IXS1153" s="14"/>
      <c r="IXT1153" s="14"/>
      <c r="IXU1153" s="14"/>
      <c r="IXV1153" s="14"/>
      <c r="IXW1153" s="14"/>
      <c r="IXX1153" s="14"/>
      <c r="IXY1153" s="14"/>
      <c r="IXZ1153" s="14"/>
      <c r="IYA1153" s="14"/>
      <c r="IYB1153" s="14"/>
      <c r="IYC1153" s="14"/>
      <c r="IYD1153" s="14"/>
      <c r="IYE1153" s="14"/>
      <c r="IYF1153" s="14"/>
      <c r="IYG1153" s="14"/>
      <c r="IYH1153" s="14"/>
      <c r="IYI1153" s="14"/>
      <c r="IYJ1153" s="14"/>
      <c r="IYK1153" s="14"/>
      <c r="IYL1153" s="14"/>
      <c r="IYM1153" s="14"/>
      <c r="IYN1153" s="14"/>
      <c r="IYO1153" s="14"/>
      <c r="IYP1153" s="14"/>
      <c r="IYQ1153" s="14"/>
      <c r="IYR1153" s="14"/>
      <c r="IYS1153" s="14"/>
      <c r="IYT1153" s="14"/>
      <c r="IYU1153" s="14"/>
      <c r="IYV1153" s="14"/>
      <c r="IYW1153" s="14"/>
      <c r="IYX1153" s="14"/>
      <c r="IYY1153" s="14"/>
      <c r="IYZ1153" s="14"/>
      <c r="IZA1153" s="14"/>
      <c r="IZB1153" s="14"/>
      <c r="IZC1153" s="14"/>
      <c r="IZD1153" s="14"/>
      <c r="IZE1153" s="14"/>
      <c r="IZF1153" s="14"/>
      <c r="IZG1153" s="14"/>
      <c r="IZH1153" s="14"/>
      <c r="IZI1153" s="14"/>
      <c r="IZJ1153" s="14"/>
      <c r="IZK1153" s="14"/>
      <c r="IZL1153" s="14"/>
      <c r="IZM1153" s="14"/>
      <c r="IZN1153" s="14"/>
      <c r="IZO1153" s="14"/>
      <c r="IZP1153" s="14"/>
      <c r="IZQ1153" s="14"/>
      <c r="IZR1153" s="14"/>
      <c r="IZS1153" s="14"/>
      <c r="IZT1153" s="14"/>
      <c r="IZU1153" s="14"/>
      <c r="IZV1153" s="14"/>
      <c r="IZW1153" s="14"/>
      <c r="IZX1153" s="14"/>
      <c r="IZY1153" s="14"/>
      <c r="IZZ1153" s="14"/>
      <c r="JAA1153" s="14"/>
      <c r="JAB1153" s="14"/>
      <c r="JAC1153" s="14"/>
      <c r="JAD1153" s="14"/>
      <c r="JAE1153" s="14"/>
      <c r="JAF1153" s="14"/>
      <c r="JAG1153" s="14"/>
      <c r="JAH1153" s="14"/>
      <c r="JAI1153" s="14"/>
      <c r="JAJ1153" s="14"/>
      <c r="JAK1153" s="14"/>
      <c r="JAL1153" s="14"/>
      <c r="JAM1153" s="14"/>
      <c r="JAN1153" s="14"/>
      <c r="JAO1153" s="14"/>
      <c r="JAP1153" s="14"/>
      <c r="JAQ1153" s="14"/>
      <c r="JAR1153" s="14"/>
      <c r="JAS1153" s="14"/>
      <c r="JAT1153" s="14"/>
      <c r="JAU1153" s="14"/>
      <c r="JAV1153" s="14"/>
      <c r="JAW1153" s="14"/>
      <c r="JAX1153" s="14"/>
      <c r="JAY1153" s="14"/>
      <c r="JAZ1153" s="14"/>
      <c r="JBA1153" s="14"/>
      <c r="JBB1153" s="14"/>
      <c r="JBC1153" s="14"/>
      <c r="JBD1153" s="14"/>
      <c r="JBE1153" s="14"/>
      <c r="JBF1153" s="14"/>
      <c r="JBG1153" s="14"/>
      <c r="JBH1153" s="14"/>
      <c r="JBI1153" s="14"/>
      <c r="JBJ1153" s="14"/>
      <c r="JBK1153" s="14"/>
      <c r="JBL1153" s="14"/>
      <c r="JBM1153" s="14"/>
      <c r="JBN1153" s="14"/>
      <c r="JBO1153" s="14"/>
      <c r="JBP1153" s="14"/>
      <c r="JBQ1153" s="14"/>
      <c r="JBR1153" s="14"/>
      <c r="JBS1153" s="14"/>
      <c r="JBT1153" s="14"/>
      <c r="JBU1153" s="14"/>
      <c r="JBV1153" s="14"/>
      <c r="JBW1153" s="14"/>
      <c r="JBX1153" s="14"/>
      <c r="JBY1153" s="14"/>
      <c r="JBZ1153" s="14"/>
      <c r="JCA1153" s="14"/>
      <c r="JCB1153" s="14"/>
      <c r="JCC1153" s="14"/>
      <c r="JCD1153" s="14"/>
      <c r="JCE1153" s="14"/>
      <c r="JCF1153" s="14"/>
      <c r="JCG1153" s="14"/>
      <c r="JCH1153" s="14"/>
      <c r="JCI1153" s="14"/>
      <c r="JCJ1153" s="14"/>
      <c r="JCK1153" s="14"/>
      <c r="JCL1153" s="14"/>
      <c r="JCM1153" s="14"/>
      <c r="JCN1153" s="14"/>
      <c r="JCO1153" s="14"/>
      <c r="JCP1153" s="14"/>
      <c r="JCQ1153" s="14"/>
      <c r="JCR1153" s="14"/>
      <c r="JCS1153" s="14"/>
      <c r="JCT1153" s="14"/>
      <c r="JCU1153" s="14"/>
      <c r="JCV1153" s="14"/>
      <c r="JCW1153" s="14"/>
      <c r="JCX1153" s="14"/>
      <c r="JCY1153" s="14"/>
      <c r="JCZ1153" s="14"/>
      <c r="JDA1153" s="14"/>
      <c r="JDB1153" s="14"/>
      <c r="JDC1153" s="14"/>
      <c r="JDD1153" s="14"/>
      <c r="JDE1153" s="14"/>
      <c r="JDF1153" s="14"/>
      <c r="JDG1153" s="14"/>
      <c r="JDH1153" s="14"/>
      <c r="JDI1153" s="14"/>
      <c r="JDJ1153" s="14"/>
      <c r="JDK1153" s="14"/>
      <c r="JDL1153" s="14"/>
      <c r="JDM1153" s="14"/>
      <c r="JDN1153" s="14"/>
      <c r="JDO1153" s="14"/>
      <c r="JDP1153" s="14"/>
      <c r="JDQ1153" s="14"/>
      <c r="JDR1153" s="14"/>
      <c r="JDS1153" s="14"/>
      <c r="JDT1153" s="14"/>
      <c r="JDU1153" s="14"/>
      <c r="JDV1153" s="14"/>
      <c r="JDW1153" s="14"/>
      <c r="JDX1153" s="14"/>
      <c r="JDY1153" s="14"/>
      <c r="JDZ1153" s="14"/>
      <c r="JEA1153" s="14"/>
      <c r="JEB1153" s="14"/>
      <c r="JEC1153" s="14"/>
      <c r="JED1153" s="14"/>
      <c r="JEE1153" s="14"/>
      <c r="JEF1153" s="14"/>
      <c r="JEG1153" s="14"/>
      <c r="JEH1153" s="14"/>
      <c r="JEI1153" s="14"/>
      <c r="JEJ1153" s="14"/>
      <c r="JEK1153" s="14"/>
      <c r="JEL1153" s="14"/>
      <c r="JEM1153" s="14"/>
      <c r="JEN1153" s="14"/>
      <c r="JEO1153" s="14"/>
      <c r="JEP1153" s="14"/>
      <c r="JEQ1153" s="14"/>
      <c r="JER1153" s="14"/>
      <c r="JES1153" s="14"/>
      <c r="JET1153" s="14"/>
      <c r="JEU1153" s="14"/>
      <c r="JEV1153" s="14"/>
      <c r="JEW1153" s="14"/>
      <c r="JEX1153" s="14"/>
      <c r="JEY1153" s="14"/>
      <c r="JEZ1153" s="14"/>
      <c r="JFA1153" s="14"/>
      <c r="JFB1153" s="14"/>
      <c r="JFC1153" s="14"/>
      <c r="JFD1153" s="14"/>
      <c r="JFE1153" s="14"/>
      <c r="JFF1153" s="14"/>
      <c r="JFG1153" s="14"/>
      <c r="JFH1153" s="14"/>
      <c r="JFI1153" s="14"/>
      <c r="JFJ1153" s="14"/>
      <c r="JFK1153" s="14"/>
      <c r="JFL1153" s="14"/>
      <c r="JFM1153" s="14"/>
      <c r="JFN1153" s="14"/>
      <c r="JFO1153" s="14"/>
      <c r="JFP1153" s="14"/>
      <c r="JFQ1153" s="14"/>
      <c r="JFR1153" s="14"/>
      <c r="JFS1153" s="14"/>
      <c r="JFT1153" s="14"/>
      <c r="JFU1153" s="14"/>
      <c r="JFV1153" s="14"/>
      <c r="JFW1153" s="14"/>
      <c r="JFX1153" s="14"/>
      <c r="JFY1153" s="14"/>
      <c r="JFZ1153" s="14"/>
      <c r="JGA1153" s="14"/>
      <c r="JGB1153" s="14"/>
      <c r="JGC1153" s="14"/>
      <c r="JGD1153" s="14"/>
      <c r="JGE1153" s="14"/>
      <c r="JGF1153" s="14"/>
      <c r="JGG1153" s="14"/>
      <c r="JGH1153" s="14"/>
      <c r="JGI1153" s="14"/>
      <c r="JGJ1153" s="14"/>
      <c r="JGK1153" s="14"/>
      <c r="JGL1153" s="14"/>
      <c r="JGM1153" s="14"/>
      <c r="JGN1153" s="14"/>
      <c r="JGO1153" s="14"/>
      <c r="JGP1153" s="14"/>
      <c r="JGQ1153" s="14"/>
      <c r="JGR1153" s="14"/>
      <c r="JGS1153" s="14"/>
      <c r="JGT1153" s="14"/>
      <c r="JGU1153" s="14"/>
      <c r="JGV1153" s="14"/>
      <c r="JGW1153" s="14"/>
      <c r="JGX1153" s="14"/>
      <c r="JGY1153" s="14"/>
      <c r="JGZ1153" s="14"/>
      <c r="JHA1153" s="14"/>
      <c r="JHB1153" s="14"/>
      <c r="JHC1153" s="14"/>
      <c r="JHD1153" s="14"/>
      <c r="JHE1153" s="14"/>
      <c r="JHF1153" s="14"/>
      <c r="JHG1153" s="14"/>
      <c r="JHH1153" s="14"/>
      <c r="JHI1153" s="14"/>
      <c r="JHJ1153" s="14"/>
      <c r="JHK1153" s="14"/>
      <c r="JHL1153" s="14"/>
      <c r="JHM1153" s="14"/>
      <c r="JHN1153" s="14"/>
      <c r="JHO1153" s="14"/>
      <c r="JHP1153" s="14"/>
      <c r="JHQ1153" s="14"/>
      <c r="JHR1153" s="14"/>
      <c r="JHS1153" s="14"/>
      <c r="JHT1153" s="14"/>
      <c r="JHU1153" s="14"/>
      <c r="JHV1153" s="14"/>
      <c r="JHW1153" s="14"/>
      <c r="JHX1153" s="14"/>
      <c r="JHY1153" s="14"/>
      <c r="JHZ1153" s="14"/>
      <c r="JIA1153" s="14"/>
      <c r="JIB1153" s="14"/>
      <c r="JIC1153" s="14"/>
      <c r="JID1153" s="14"/>
      <c r="JIE1153" s="14"/>
      <c r="JIF1153" s="14"/>
      <c r="JIG1153" s="14"/>
      <c r="JIH1153" s="14"/>
      <c r="JII1153" s="14"/>
      <c r="JIJ1153" s="14"/>
      <c r="JIK1153" s="14"/>
      <c r="JIL1153" s="14"/>
      <c r="JIM1153" s="14"/>
      <c r="JIN1153" s="14"/>
      <c r="JIO1153" s="14"/>
      <c r="JIP1153" s="14"/>
      <c r="JIQ1153" s="14"/>
      <c r="JIR1153" s="14"/>
      <c r="JIS1153" s="14"/>
      <c r="JIT1153" s="14"/>
      <c r="JIU1153" s="14"/>
      <c r="JIV1153" s="14"/>
      <c r="JIW1153" s="14"/>
      <c r="JIX1153" s="14"/>
      <c r="JIY1153" s="14"/>
      <c r="JIZ1153" s="14"/>
      <c r="JJA1153" s="14"/>
      <c r="JJB1153" s="14"/>
      <c r="JJC1153" s="14"/>
      <c r="JJD1153" s="14"/>
      <c r="JJE1153" s="14"/>
      <c r="JJF1153" s="14"/>
      <c r="JJG1153" s="14"/>
      <c r="JJH1153" s="14"/>
      <c r="JJI1153" s="14"/>
      <c r="JJJ1153" s="14"/>
      <c r="JJK1153" s="14"/>
      <c r="JJL1153" s="14"/>
      <c r="JJM1153" s="14"/>
      <c r="JJN1153" s="14"/>
      <c r="JJO1153" s="14"/>
      <c r="JJP1153" s="14"/>
      <c r="JJQ1153" s="14"/>
      <c r="JJR1153" s="14"/>
      <c r="JJS1153" s="14"/>
      <c r="JJT1153" s="14"/>
      <c r="JJU1153" s="14"/>
      <c r="JJV1153" s="14"/>
      <c r="JJW1153" s="14"/>
      <c r="JJX1153" s="14"/>
      <c r="JJY1153" s="14"/>
      <c r="JJZ1153" s="14"/>
      <c r="JKA1153" s="14"/>
      <c r="JKB1153" s="14"/>
      <c r="JKC1153" s="14"/>
      <c r="JKD1153" s="14"/>
      <c r="JKE1153" s="14"/>
      <c r="JKF1153" s="14"/>
      <c r="JKG1153" s="14"/>
      <c r="JKH1153" s="14"/>
      <c r="JKI1153" s="14"/>
      <c r="JKJ1153" s="14"/>
      <c r="JKK1153" s="14"/>
      <c r="JKL1153" s="14"/>
      <c r="JKM1153" s="14"/>
      <c r="JKN1153" s="14"/>
      <c r="JKO1153" s="14"/>
      <c r="JKP1153" s="14"/>
      <c r="JKQ1153" s="14"/>
      <c r="JKR1153" s="14"/>
      <c r="JKS1153" s="14"/>
      <c r="JKT1153" s="14"/>
      <c r="JKU1153" s="14"/>
      <c r="JKV1153" s="14"/>
      <c r="JKW1153" s="14"/>
      <c r="JKX1153" s="14"/>
      <c r="JKY1153" s="14"/>
      <c r="JKZ1153" s="14"/>
      <c r="JLA1153" s="14"/>
      <c r="JLB1153" s="14"/>
      <c r="JLC1153" s="14"/>
      <c r="JLD1153" s="14"/>
      <c r="JLE1153" s="14"/>
      <c r="JLF1153" s="14"/>
      <c r="JLG1153" s="14"/>
      <c r="JLH1153" s="14"/>
      <c r="JLI1153" s="14"/>
      <c r="JLJ1153" s="14"/>
      <c r="JLK1153" s="14"/>
      <c r="JLL1153" s="14"/>
      <c r="JLM1153" s="14"/>
      <c r="JLN1153" s="14"/>
      <c r="JLO1153" s="14"/>
      <c r="JLP1153" s="14"/>
      <c r="JLQ1153" s="14"/>
      <c r="JLR1153" s="14"/>
      <c r="JLS1153" s="14"/>
      <c r="JLT1153" s="14"/>
      <c r="JLU1153" s="14"/>
      <c r="JLV1153" s="14"/>
      <c r="JLW1153" s="14"/>
      <c r="JLX1153" s="14"/>
      <c r="JLY1153" s="14"/>
      <c r="JLZ1153" s="14"/>
      <c r="JMA1153" s="14"/>
      <c r="JMB1153" s="14"/>
      <c r="JMC1153" s="14"/>
      <c r="JMD1153" s="14"/>
      <c r="JME1153" s="14"/>
      <c r="JMF1153" s="14"/>
      <c r="JMG1153" s="14"/>
      <c r="JMH1153" s="14"/>
      <c r="JMI1153" s="14"/>
      <c r="JMJ1153" s="14"/>
      <c r="JMK1153" s="14"/>
      <c r="JML1153" s="14"/>
      <c r="JMM1153" s="14"/>
      <c r="JMN1153" s="14"/>
      <c r="JMO1153" s="14"/>
      <c r="JMP1153" s="14"/>
      <c r="JMQ1153" s="14"/>
      <c r="JMR1153" s="14"/>
      <c r="JMS1153" s="14"/>
      <c r="JMT1153" s="14"/>
      <c r="JMU1153" s="14"/>
      <c r="JMV1153" s="14"/>
      <c r="JMW1153" s="14"/>
      <c r="JMX1153" s="14"/>
      <c r="JMY1153" s="14"/>
      <c r="JMZ1153" s="14"/>
      <c r="JNA1153" s="14"/>
      <c r="JNB1153" s="14"/>
      <c r="JNC1153" s="14"/>
      <c r="JND1153" s="14"/>
      <c r="JNE1153" s="14"/>
      <c r="JNF1153" s="14"/>
      <c r="JNG1153" s="14"/>
      <c r="JNH1153" s="14"/>
      <c r="JNI1153" s="14"/>
      <c r="JNJ1153" s="14"/>
      <c r="JNK1153" s="14"/>
      <c r="JNL1153" s="14"/>
      <c r="JNM1153" s="14"/>
      <c r="JNN1153" s="14"/>
      <c r="JNO1153" s="14"/>
      <c r="JNP1153" s="14"/>
      <c r="JNQ1153" s="14"/>
      <c r="JNR1153" s="14"/>
      <c r="JNS1153" s="14"/>
      <c r="JNT1153" s="14"/>
      <c r="JNU1153" s="14"/>
      <c r="JNV1153" s="14"/>
      <c r="JNW1153" s="14"/>
      <c r="JNX1153" s="14"/>
      <c r="JNY1153" s="14"/>
      <c r="JNZ1153" s="14"/>
      <c r="JOA1153" s="14"/>
      <c r="JOB1153" s="14"/>
      <c r="JOC1153" s="14"/>
      <c r="JOD1153" s="14"/>
      <c r="JOE1153" s="14"/>
      <c r="JOF1153" s="14"/>
      <c r="JOG1153" s="14"/>
      <c r="JOH1153" s="14"/>
      <c r="JOI1153" s="14"/>
      <c r="JOJ1153" s="14"/>
      <c r="JOK1153" s="14"/>
      <c r="JOL1153" s="14"/>
      <c r="JOM1153" s="14"/>
      <c r="JON1153" s="14"/>
      <c r="JOO1153" s="14"/>
      <c r="JOP1153" s="14"/>
      <c r="JOQ1153" s="14"/>
      <c r="JOR1153" s="14"/>
      <c r="JOS1153" s="14"/>
      <c r="JOT1153" s="14"/>
      <c r="JOU1153" s="14"/>
      <c r="JOV1153" s="14"/>
      <c r="JOW1153" s="14"/>
      <c r="JOX1153" s="14"/>
      <c r="JOY1153" s="14"/>
      <c r="JOZ1153" s="14"/>
      <c r="JPA1153" s="14"/>
      <c r="JPB1153" s="14"/>
      <c r="JPC1153" s="14"/>
      <c r="JPD1153" s="14"/>
      <c r="JPE1153" s="14"/>
      <c r="JPF1153" s="14"/>
      <c r="JPG1153" s="14"/>
      <c r="JPH1153" s="14"/>
      <c r="JPI1153" s="14"/>
      <c r="JPJ1153" s="14"/>
      <c r="JPK1153" s="14"/>
      <c r="JPL1153" s="14"/>
      <c r="JPM1153" s="14"/>
      <c r="JPN1153" s="14"/>
      <c r="JPO1153" s="14"/>
      <c r="JPP1153" s="14"/>
      <c r="JPQ1153" s="14"/>
      <c r="JPR1153" s="14"/>
      <c r="JPS1153" s="14"/>
      <c r="JPT1153" s="14"/>
      <c r="JPU1153" s="14"/>
      <c r="JPV1153" s="14"/>
      <c r="JPW1153" s="14"/>
      <c r="JPX1153" s="14"/>
      <c r="JPY1153" s="14"/>
      <c r="JPZ1153" s="14"/>
      <c r="JQA1153" s="14"/>
      <c r="JQB1153" s="14"/>
      <c r="JQC1153" s="14"/>
      <c r="JQD1153" s="14"/>
      <c r="JQE1153" s="14"/>
      <c r="JQF1153" s="14"/>
      <c r="JQG1153" s="14"/>
      <c r="JQH1153" s="14"/>
      <c r="JQI1153" s="14"/>
      <c r="JQJ1153" s="14"/>
      <c r="JQK1153" s="14"/>
      <c r="JQL1153" s="14"/>
      <c r="JQM1153" s="14"/>
      <c r="JQN1153" s="14"/>
      <c r="JQO1153" s="14"/>
      <c r="JQP1153" s="14"/>
      <c r="JQQ1153" s="14"/>
      <c r="JQR1153" s="14"/>
      <c r="JQS1153" s="14"/>
      <c r="JQT1153" s="14"/>
      <c r="JQU1153" s="14"/>
      <c r="JQV1153" s="14"/>
      <c r="JQW1153" s="14"/>
      <c r="JQX1153" s="14"/>
      <c r="JQY1153" s="14"/>
      <c r="JQZ1153" s="14"/>
      <c r="JRA1153" s="14"/>
      <c r="JRB1153" s="14"/>
      <c r="JRC1153" s="14"/>
      <c r="JRD1153" s="14"/>
      <c r="JRE1153" s="14"/>
      <c r="JRF1153" s="14"/>
      <c r="JRG1153" s="14"/>
      <c r="JRH1153" s="14"/>
      <c r="JRI1153" s="14"/>
      <c r="JRJ1153" s="14"/>
      <c r="JRK1153" s="14"/>
      <c r="JRL1153" s="14"/>
      <c r="JRM1153" s="14"/>
      <c r="JRN1153" s="14"/>
      <c r="JRO1153" s="14"/>
      <c r="JRP1153" s="14"/>
      <c r="JRQ1153" s="14"/>
      <c r="JRR1153" s="14"/>
      <c r="JRS1153" s="14"/>
      <c r="JRT1153" s="14"/>
      <c r="JRU1153" s="14"/>
      <c r="JRV1153" s="14"/>
      <c r="JRW1153" s="14"/>
      <c r="JRX1153" s="14"/>
      <c r="JRY1153" s="14"/>
      <c r="JRZ1153" s="14"/>
      <c r="JSA1153" s="14"/>
      <c r="JSB1153" s="14"/>
      <c r="JSC1153" s="14"/>
      <c r="JSD1153" s="14"/>
      <c r="JSE1153" s="14"/>
      <c r="JSF1153" s="14"/>
      <c r="JSG1153" s="14"/>
      <c r="JSH1153" s="14"/>
      <c r="JSI1153" s="14"/>
      <c r="JSJ1153" s="14"/>
      <c r="JSK1153" s="14"/>
      <c r="JSL1153" s="14"/>
      <c r="JSM1153" s="14"/>
      <c r="JSN1153" s="14"/>
      <c r="JSO1153" s="14"/>
      <c r="JSP1153" s="14"/>
      <c r="JSQ1153" s="14"/>
      <c r="JSR1153" s="14"/>
      <c r="JSS1153" s="14"/>
      <c r="JST1153" s="14"/>
      <c r="JSU1153" s="14"/>
      <c r="JSV1153" s="14"/>
      <c r="JSW1153" s="14"/>
      <c r="JSX1153" s="14"/>
      <c r="JSY1153" s="14"/>
      <c r="JSZ1153" s="14"/>
      <c r="JTA1153" s="14"/>
      <c r="JTB1153" s="14"/>
      <c r="JTC1153" s="14"/>
      <c r="JTD1153" s="14"/>
      <c r="JTE1153" s="14"/>
      <c r="JTF1153" s="14"/>
      <c r="JTG1153" s="14"/>
      <c r="JTH1153" s="14"/>
      <c r="JTI1153" s="14"/>
      <c r="JTJ1153" s="14"/>
      <c r="JTK1153" s="14"/>
      <c r="JTL1153" s="14"/>
      <c r="JTM1153" s="14"/>
      <c r="JTN1153" s="14"/>
      <c r="JTO1153" s="14"/>
      <c r="JTP1153" s="14"/>
      <c r="JTQ1153" s="14"/>
      <c r="JTR1153" s="14"/>
      <c r="JTS1153" s="14"/>
      <c r="JTT1153" s="14"/>
      <c r="JTU1153" s="14"/>
      <c r="JTV1153" s="14"/>
      <c r="JTW1153" s="14"/>
      <c r="JTX1153" s="14"/>
      <c r="JTY1153" s="14"/>
      <c r="JTZ1153" s="14"/>
      <c r="JUA1153" s="14"/>
      <c r="JUB1153" s="14"/>
      <c r="JUC1153" s="14"/>
      <c r="JUD1153" s="14"/>
      <c r="JUE1153" s="14"/>
      <c r="JUF1153" s="14"/>
      <c r="JUG1153" s="14"/>
      <c r="JUH1153" s="14"/>
      <c r="JUI1153" s="14"/>
      <c r="JUJ1153" s="14"/>
      <c r="JUK1153" s="14"/>
      <c r="JUL1153" s="14"/>
      <c r="JUM1153" s="14"/>
      <c r="JUN1153" s="14"/>
      <c r="JUO1153" s="14"/>
      <c r="JUP1153" s="14"/>
      <c r="JUQ1153" s="14"/>
      <c r="JUR1153" s="14"/>
      <c r="JUS1153" s="14"/>
      <c r="JUT1153" s="14"/>
      <c r="JUU1153" s="14"/>
      <c r="JUV1153" s="14"/>
      <c r="JUW1153" s="14"/>
      <c r="JUX1153" s="14"/>
      <c r="JUY1153" s="14"/>
      <c r="JUZ1153" s="14"/>
      <c r="JVA1153" s="14"/>
      <c r="JVB1153" s="14"/>
      <c r="JVC1153" s="14"/>
      <c r="JVD1153" s="14"/>
      <c r="JVE1153" s="14"/>
      <c r="JVF1153" s="14"/>
      <c r="JVG1153" s="14"/>
      <c r="JVH1153" s="14"/>
      <c r="JVI1153" s="14"/>
      <c r="JVJ1153" s="14"/>
      <c r="JVK1153" s="14"/>
      <c r="JVL1153" s="14"/>
      <c r="JVM1153" s="14"/>
      <c r="JVN1153" s="14"/>
      <c r="JVO1153" s="14"/>
      <c r="JVP1153" s="14"/>
      <c r="JVQ1153" s="14"/>
      <c r="JVR1153" s="14"/>
      <c r="JVS1153" s="14"/>
      <c r="JVT1153" s="14"/>
      <c r="JVU1153" s="14"/>
      <c r="JVV1153" s="14"/>
      <c r="JVW1153" s="14"/>
      <c r="JVX1153" s="14"/>
      <c r="JVY1153" s="14"/>
      <c r="JVZ1153" s="14"/>
      <c r="JWA1153" s="14"/>
      <c r="JWB1153" s="14"/>
      <c r="JWC1153" s="14"/>
      <c r="JWD1153" s="14"/>
      <c r="JWE1153" s="14"/>
      <c r="JWF1153" s="14"/>
      <c r="JWG1153" s="14"/>
      <c r="JWH1153" s="14"/>
      <c r="JWI1153" s="14"/>
      <c r="JWJ1153" s="14"/>
      <c r="JWK1153" s="14"/>
      <c r="JWL1153" s="14"/>
      <c r="JWM1153" s="14"/>
      <c r="JWN1153" s="14"/>
      <c r="JWO1153" s="14"/>
      <c r="JWP1153" s="14"/>
      <c r="JWQ1153" s="14"/>
      <c r="JWR1153" s="14"/>
      <c r="JWS1153" s="14"/>
      <c r="JWT1153" s="14"/>
      <c r="JWU1153" s="14"/>
      <c r="JWV1153" s="14"/>
      <c r="JWW1153" s="14"/>
      <c r="JWX1153" s="14"/>
      <c r="JWY1153" s="14"/>
      <c r="JWZ1153" s="14"/>
      <c r="JXA1153" s="14"/>
      <c r="JXB1153" s="14"/>
      <c r="JXC1153" s="14"/>
      <c r="JXD1153" s="14"/>
      <c r="JXE1153" s="14"/>
      <c r="JXF1153" s="14"/>
      <c r="JXG1153" s="14"/>
      <c r="JXH1153" s="14"/>
      <c r="JXI1153" s="14"/>
      <c r="JXJ1153" s="14"/>
      <c r="JXK1153" s="14"/>
      <c r="JXL1153" s="14"/>
      <c r="JXM1153" s="14"/>
      <c r="JXN1153" s="14"/>
      <c r="JXO1153" s="14"/>
      <c r="JXP1153" s="14"/>
      <c r="JXQ1153" s="14"/>
      <c r="JXR1153" s="14"/>
      <c r="JXS1153" s="14"/>
      <c r="JXT1153" s="14"/>
      <c r="JXU1153" s="14"/>
      <c r="JXV1153" s="14"/>
      <c r="JXW1153" s="14"/>
      <c r="JXX1153" s="14"/>
      <c r="JXY1153" s="14"/>
      <c r="JXZ1153" s="14"/>
      <c r="JYA1153" s="14"/>
      <c r="JYB1153" s="14"/>
      <c r="JYC1153" s="14"/>
      <c r="JYD1153" s="14"/>
      <c r="JYE1153" s="14"/>
      <c r="JYF1153" s="14"/>
      <c r="JYG1153" s="14"/>
      <c r="JYH1153" s="14"/>
      <c r="JYI1153" s="14"/>
      <c r="JYJ1153" s="14"/>
      <c r="JYK1153" s="14"/>
      <c r="JYL1153" s="14"/>
      <c r="JYM1153" s="14"/>
      <c r="JYN1153" s="14"/>
      <c r="JYO1153" s="14"/>
      <c r="JYP1153" s="14"/>
      <c r="JYQ1153" s="14"/>
      <c r="JYR1153" s="14"/>
      <c r="JYS1153" s="14"/>
      <c r="JYT1153" s="14"/>
      <c r="JYU1153" s="14"/>
      <c r="JYV1153" s="14"/>
      <c r="JYW1153" s="14"/>
      <c r="JYX1153" s="14"/>
      <c r="JYY1153" s="14"/>
      <c r="JYZ1153" s="14"/>
      <c r="JZA1153" s="14"/>
      <c r="JZB1153" s="14"/>
      <c r="JZC1153" s="14"/>
      <c r="JZD1153" s="14"/>
      <c r="JZE1153" s="14"/>
      <c r="JZF1153" s="14"/>
      <c r="JZG1153" s="14"/>
      <c r="JZH1153" s="14"/>
      <c r="JZI1153" s="14"/>
      <c r="JZJ1153" s="14"/>
      <c r="JZK1153" s="14"/>
      <c r="JZL1153" s="14"/>
      <c r="JZM1153" s="14"/>
      <c r="JZN1153" s="14"/>
      <c r="JZO1153" s="14"/>
      <c r="JZP1153" s="14"/>
      <c r="JZQ1153" s="14"/>
      <c r="JZR1153" s="14"/>
      <c r="JZS1153" s="14"/>
      <c r="JZT1153" s="14"/>
      <c r="JZU1153" s="14"/>
      <c r="JZV1153" s="14"/>
      <c r="JZW1153" s="14"/>
      <c r="JZX1153" s="14"/>
      <c r="JZY1153" s="14"/>
      <c r="JZZ1153" s="14"/>
      <c r="KAA1153" s="14"/>
      <c r="KAB1153" s="14"/>
      <c r="KAC1153" s="14"/>
      <c r="KAD1153" s="14"/>
      <c r="KAE1153" s="14"/>
      <c r="KAF1153" s="14"/>
      <c r="KAG1153" s="14"/>
      <c r="KAH1153" s="14"/>
      <c r="KAI1153" s="14"/>
      <c r="KAJ1153" s="14"/>
      <c r="KAK1153" s="14"/>
      <c r="KAL1153" s="14"/>
      <c r="KAM1153" s="14"/>
      <c r="KAN1153" s="14"/>
      <c r="KAO1153" s="14"/>
      <c r="KAP1153" s="14"/>
      <c r="KAQ1153" s="14"/>
      <c r="KAR1153" s="14"/>
      <c r="KAS1153" s="14"/>
      <c r="KAT1153" s="14"/>
      <c r="KAU1153" s="14"/>
      <c r="KAV1153" s="14"/>
      <c r="KAW1153" s="14"/>
      <c r="KAX1153" s="14"/>
      <c r="KAY1153" s="14"/>
      <c r="KAZ1153" s="14"/>
      <c r="KBA1153" s="14"/>
      <c r="KBB1153" s="14"/>
      <c r="KBC1153" s="14"/>
      <c r="KBD1153" s="14"/>
      <c r="KBE1153" s="14"/>
      <c r="KBF1153" s="14"/>
      <c r="KBG1153" s="14"/>
      <c r="KBH1153" s="14"/>
      <c r="KBI1153" s="14"/>
      <c r="KBJ1153" s="14"/>
      <c r="KBK1153" s="14"/>
      <c r="KBL1153" s="14"/>
      <c r="KBM1153" s="14"/>
      <c r="KBN1153" s="14"/>
      <c r="KBO1153" s="14"/>
      <c r="KBP1153" s="14"/>
      <c r="KBQ1153" s="14"/>
      <c r="KBR1153" s="14"/>
      <c r="KBS1153" s="14"/>
      <c r="KBT1153" s="14"/>
      <c r="KBU1153" s="14"/>
      <c r="KBV1153" s="14"/>
      <c r="KBW1153" s="14"/>
      <c r="KBX1153" s="14"/>
      <c r="KBY1153" s="14"/>
      <c r="KBZ1153" s="14"/>
      <c r="KCA1153" s="14"/>
      <c r="KCB1153" s="14"/>
      <c r="KCC1153" s="14"/>
      <c r="KCD1153" s="14"/>
      <c r="KCE1153" s="14"/>
      <c r="KCF1153" s="14"/>
      <c r="KCG1153" s="14"/>
      <c r="KCH1153" s="14"/>
      <c r="KCI1153" s="14"/>
      <c r="KCJ1153" s="14"/>
      <c r="KCK1153" s="14"/>
      <c r="KCL1153" s="14"/>
      <c r="KCM1153" s="14"/>
      <c r="KCN1153" s="14"/>
      <c r="KCO1153" s="14"/>
      <c r="KCP1153" s="14"/>
      <c r="KCQ1153" s="14"/>
      <c r="KCR1153" s="14"/>
      <c r="KCS1153" s="14"/>
      <c r="KCT1153" s="14"/>
      <c r="KCU1153" s="14"/>
      <c r="KCV1153" s="14"/>
      <c r="KCW1153" s="14"/>
      <c r="KCX1153" s="14"/>
      <c r="KCY1153" s="14"/>
      <c r="KCZ1153" s="14"/>
      <c r="KDA1153" s="14"/>
      <c r="KDB1153" s="14"/>
      <c r="KDC1153" s="14"/>
      <c r="KDD1153" s="14"/>
      <c r="KDE1153" s="14"/>
      <c r="KDF1153" s="14"/>
      <c r="KDG1153" s="14"/>
      <c r="KDH1153" s="14"/>
      <c r="KDI1153" s="14"/>
      <c r="KDJ1153" s="14"/>
      <c r="KDK1153" s="14"/>
      <c r="KDL1153" s="14"/>
      <c r="KDM1153" s="14"/>
      <c r="KDN1153" s="14"/>
      <c r="KDO1153" s="14"/>
      <c r="KDP1153" s="14"/>
      <c r="KDQ1153" s="14"/>
      <c r="KDR1153" s="14"/>
      <c r="KDS1153" s="14"/>
      <c r="KDT1153" s="14"/>
      <c r="KDU1153" s="14"/>
      <c r="KDV1153" s="14"/>
      <c r="KDW1153" s="14"/>
      <c r="KDX1153" s="14"/>
      <c r="KDY1153" s="14"/>
      <c r="KDZ1153" s="14"/>
      <c r="KEA1153" s="14"/>
      <c r="KEB1153" s="14"/>
      <c r="KEC1153" s="14"/>
      <c r="KED1153" s="14"/>
      <c r="KEE1153" s="14"/>
      <c r="KEF1153" s="14"/>
      <c r="KEG1153" s="14"/>
      <c r="KEH1153" s="14"/>
      <c r="KEI1153" s="14"/>
      <c r="KEJ1153" s="14"/>
      <c r="KEK1153" s="14"/>
      <c r="KEL1153" s="14"/>
      <c r="KEM1153" s="14"/>
      <c r="KEN1153" s="14"/>
      <c r="KEO1153" s="14"/>
      <c r="KEP1153" s="14"/>
      <c r="KEQ1153" s="14"/>
      <c r="KER1153" s="14"/>
      <c r="KES1153" s="14"/>
      <c r="KET1153" s="14"/>
      <c r="KEU1153" s="14"/>
      <c r="KEV1153" s="14"/>
      <c r="KEW1153" s="14"/>
      <c r="KEX1153" s="14"/>
      <c r="KEY1153" s="14"/>
      <c r="KEZ1153" s="14"/>
      <c r="KFA1153" s="14"/>
      <c r="KFB1153" s="14"/>
      <c r="KFC1153" s="14"/>
      <c r="KFD1153" s="14"/>
      <c r="KFE1153" s="14"/>
      <c r="KFF1153" s="14"/>
      <c r="KFG1153" s="14"/>
      <c r="KFH1153" s="14"/>
      <c r="KFI1153" s="14"/>
      <c r="KFJ1153" s="14"/>
      <c r="KFK1153" s="14"/>
      <c r="KFL1153" s="14"/>
      <c r="KFM1153" s="14"/>
      <c r="KFN1153" s="14"/>
      <c r="KFO1153" s="14"/>
      <c r="KFP1153" s="14"/>
      <c r="KFQ1153" s="14"/>
      <c r="KFR1153" s="14"/>
      <c r="KFS1153" s="14"/>
      <c r="KFT1153" s="14"/>
      <c r="KFU1153" s="14"/>
      <c r="KFV1153" s="14"/>
      <c r="KFW1153" s="14"/>
      <c r="KFX1153" s="14"/>
      <c r="KFY1153" s="14"/>
      <c r="KFZ1153" s="14"/>
      <c r="KGA1153" s="14"/>
      <c r="KGB1153" s="14"/>
      <c r="KGC1153" s="14"/>
      <c r="KGD1153" s="14"/>
      <c r="KGE1153" s="14"/>
      <c r="KGF1153" s="14"/>
      <c r="KGG1153" s="14"/>
      <c r="KGH1153" s="14"/>
      <c r="KGI1153" s="14"/>
      <c r="KGJ1153" s="14"/>
      <c r="KGK1153" s="14"/>
      <c r="KGL1153" s="14"/>
      <c r="KGM1153" s="14"/>
      <c r="KGN1153" s="14"/>
      <c r="KGO1153" s="14"/>
      <c r="KGP1153" s="14"/>
      <c r="KGQ1153" s="14"/>
      <c r="KGR1153" s="14"/>
      <c r="KGS1153" s="14"/>
      <c r="KGT1153" s="14"/>
      <c r="KGU1153" s="14"/>
      <c r="KGV1153" s="14"/>
      <c r="KGW1153" s="14"/>
      <c r="KGX1153" s="14"/>
      <c r="KGY1153" s="14"/>
      <c r="KGZ1153" s="14"/>
      <c r="KHA1153" s="14"/>
      <c r="KHB1153" s="14"/>
      <c r="KHC1153" s="14"/>
      <c r="KHD1153" s="14"/>
      <c r="KHE1153" s="14"/>
      <c r="KHF1153" s="14"/>
      <c r="KHG1153" s="14"/>
      <c r="KHH1153" s="14"/>
      <c r="KHI1153" s="14"/>
      <c r="KHJ1153" s="14"/>
      <c r="KHK1153" s="14"/>
      <c r="KHL1153" s="14"/>
      <c r="KHM1153" s="14"/>
      <c r="KHN1153" s="14"/>
      <c r="KHO1153" s="14"/>
      <c r="KHP1153" s="14"/>
      <c r="KHQ1153" s="14"/>
      <c r="KHR1153" s="14"/>
      <c r="KHS1153" s="14"/>
      <c r="KHT1153" s="14"/>
      <c r="KHU1153" s="14"/>
      <c r="KHV1153" s="14"/>
      <c r="KHW1153" s="14"/>
      <c r="KHX1153" s="14"/>
      <c r="KHY1153" s="14"/>
      <c r="KHZ1153" s="14"/>
      <c r="KIA1153" s="14"/>
      <c r="KIB1153" s="14"/>
      <c r="KIC1153" s="14"/>
      <c r="KID1153" s="14"/>
      <c r="KIE1153" s="14"/>
      <c r="KIF1153" s="14"/>
      <c r="KIG1153" s="14"/>
      <c r="KIH1153" s="14"/>
      <c r="KII1153" s="14"/>
      <c r="KIJ1153" s="14"/>
      <c r="KIK1153" s="14"/>
      <c r="KIL1153" s="14"/>
      <c r="KIM1153" s="14"/>
      <c r="KIN1153" s="14"/>
      <c r="KIO1153" s="14"/>
      <c r="KIP1153" s="14"/>
      <c r="KIQ1153" s="14"/>
      <c r="KIR1153" s="14"/>
      <c r="KIS1153" s="14"/>
      <c r="KIT1153" s="14"/>
      <c r="KIU1153" s="14"/>
      <c r="KIV1153" s="14"/>
      <c r="KIW1153" s="14"/>
      <c r="KIX1153" s="14"/>
      <c r="KIY1153" s="14"/>
      <c r="KIZ1153" s="14"/>
      <c r="KJA1153" s="14"/>
      <c r="KJB1153" s="14"/>
      <c r="KJC1153" s="14"/>
      <c r="KJD1153" s="14"/>
      <c r="KJE1153" s="14"/>
      <c r="KJF1153" s="14"/>
      <c r="KJG1153" s="14"/>
      <c r="KJH1153" s="14"/>
      <c r="KJI1153" s="14"/>
      <c r="KJJ1153" s="14"/>
      <c r="KJK1153" s="14"/>
      <c r="KJL1153" s="14"/>
      <c r="KJM1153" s="14"/>
      <c r="KJN1153" s="14"/>
      <c r="KJO1153" s="14"/>
      <c r="KJP1153" s="14"/>
      <c r="KJQ1153" s="14"/>
      <c r="KJR1153" s="14"/>
      <c r="KJS1153" s="14"/>
      <c r="KJT1153" s="14"/>
      <c r="KJU1153" s="14"/>
      <c r="KJV1153" s="14"/>
      <c r="KJW1153" s="14"/>
      <c r="KJX1153" s="14"/>
      <c r="KJY1153" s="14"/>
      <c r="KJZ1153" s="14"/>
      <c r="KKA1153" s="14"/>
      <c r="KKB1153" s="14"/>
      <c r="KKC1153" s="14"/>
      <c r="KKD1153" s="14"/>
      <c r="KKE1153" s="14"/>
      <c r="KKF1153" s="14"/>
      <c r="KKG1153" s="14"/>
      <c r="KKH1153" s="14"/>
      <c r="KKI1153" s="14"/>
      <c r="KKJ1153" s="14"/>
      <c r="KKK1153" s="14"/>
      <c r="KKL1153" s="14"/>
      <c r="KKM1153" s="14"/>
      <c r="KKN1153" s="14"/>
      <c r="KKO1153" s="14"/>
      <c r="KKP1153" s="14"/>
      <c r="KKQ1153" s="14"/>
      <c r="KKR1153" s="14"/>
      <c r="KKS1153" s="14"/>
      <c r="KKT1153" s="14"/>
      <c r="KKU1153" s="14"/>
      <c r="KKV1153" s="14"/>
      <c r="KKW1153" s="14"/>
      <c r="KKX1153" s="14"/>
      <c r="KKY1153" s="14"/>
      <c r="KKZ1153" s="14"/>
      <c r="KLA1153" s="14"/>
      <c r="KLB1153" s="14"/>
      <c r="KLC1153" s="14"/>
      <c r="KLD1153" s="14"/>
      <c r="KLE1153" s="14"/>
      <c r="KLF1153" s="14"/>
      <c r="KLG1153" s="14"/>
      <c r="KLH1153" s="14"/>
      <c r="KLI1153" s="14"/>
      <c r="KLJ1153" s="14"/>
      <c r="KLK1153" s="14"/>
      <c r="KLL1153" s="14"/>
      <c r="KLM1153" s="14"/>
      <c r="KLN1153" s="14"/>
      <c r="KLO1153" s="14"/>
      <c r="KLP1153" s="14"/>
      <c r="KLQ1153" s="14"/>
      <c r="KLR1153" s="14"/>
      <c r="KLS1153" s="14"/>
      <c r="KLT1153" s="14"/>
      <c r="KLU1153" s="14"/>
      <c r="KLV1153" s="14"/>
      <c r="KLW1153" s="14"/>
      <c r="KLX1153" s="14"/>
      <c r="KLY1153" s="14"/>
      <c r="KLZ1153" s="14"/>
      <c r="KMA1153" s="14"/>
      <c r="KMB1153" s="14"/>
      <c r="KMC1153" s="14"/>
      <c r="KMD1153" s="14"/>
      <c r="KME1153" s="14"/>
      <c r="KMF1153" s="14"/>
      <c r="KMG1153" s="14"/>
      <c r="KMH1153" s="14"/>
      <c r="KMI1153" s="14"/>
      <c r="KMJ1153" s="14"/>
      <c r="KMK1153" s="14"/>
      <c r="KML1153" s="14"/>
      <c r="KMM1153" s="14"/>
      <c r="KMN1153" s="14"/>
      <c r="KMO1153" s="14"/>
      <c r="KMP1153" s="14"/>
      <c r="KMQ1153" s="14"/>
      <c r="KMR1153" s="14"/>
      <c r="KMS1153" s="14"/>
      <c r="KMT1153" s="14"/>
      <c r="KMU1153" s="14"/>
      <c r="KMV1153" s="14"/>
      <c r="KMW1153" s="14"/>
      <c r="KMX1153" s="14"/>
      <c r="KMY1153" s="14"/>
      <c r="KMZ1153" s="14"/>
      <c r="KNA1153" s="14"/>
      <c r="KNB1153" s="14"/>
      <c r="KNC1153" s="14"/>
      <c r="KND1153" s="14"/>
      <c r="KNE1153" s="14"/>
      <c r="KNF1153" s="14"/>
      <c r="KNG1153" s="14"/>
      <c r="KNH1153" s="14"/>
      <c r="KNI1153" s="14"/>
      <c r="KNJ1153" s="14"/>
      <c r="KNK1153" s="14"/>
      <c r="KNL1153" s="14"/>
      <c r="KNM1153" s="14"/>
      <c r="KNN1153" s="14"/>
      <c r="KNO1153" s="14"/>
      <c r="KNP1153" s="14"/>
      <c r="KNQ1153" s="14"/>
      <c r="KNR1153" s="14"/>
      <c r="KNS1153" s="14"/>
      <c r="KNT1153" s="14"/>
      <c r="KNU1153" s="14"/>
      <c r="KNV1153" s="14"/>
      <c r="KNW1153" s="14"/>
      <c r="KNX1153" s="14"/>
      <c r="KNY1153" s="14"/>
      <c r="KNZ1153" s="14"/>
      <c r="KOA1153" s="14"/>
      <c r="KOB1153" s="14"/>
      <c r="KOC1153" s="14"/>
      <c r="KOD1153" s="14"/>
      <c r="KOE1153" s="14"/>
      <c r="KOF1153" s="14"/>
      <c r="KOG1153" s="14"/>
      <c r="KOH1153" s="14"/>
      <c r="KOI1153" s="14"/>
      <c r="KOJ1153" s="14"/>
      <c r="KOK1153" s="14"/>
      <c r="KOL1153" s="14"/>
      <c r="KOM1153" s="14"/>
      <c r="KON1153" s="14"/>
      <c r="KOO1153" s="14"/>
      <c r="KOP1153" s="14"/>
      <c r="KOQ1153" s="14"/>
      <c r="KOR1153" s="14"/>
      <c r="KOS1153" s="14"/>
      <c r="KOT1153" s="14"/>
      <c r="KOU1153" s="14"/>
      <c r="KOV1153" s="14"/>
      <c r="KOW1153" s="14"/>
      <c r="KOX1153" s="14"/>
      <c r="KOY1153" s="14"/>
      <c r="KOZ1153" s="14"/>
      <c r="KPA1153" s="14"/>
      <c r="KPB1153" s="14"/>
      <c r="KPC1153" s="14"/>
      <c r="KPD1153" s="14"/>
      <c r="KPE1153" s="14"/>
      <c r="KPF1153" s="14"/>
      <c r="KPG1153" s="14"/>
      <c r="KPH1153" s="14"/>
      <c r="KPI1153" s="14"/>
      <c r="KPJ1153" s="14"/>
      <c r="KPK1153" s="14"/>
      <c r="KPL1153" s="14"/>
      <c r="KPM1153" s="14"/>
      <c r="KPN1153" s="14"/>
      <c r="KPO1153" s="14"/>
      <c r="KPP1153" s="14"/>
      <c r="KPQ1153" s="14"/>
      <c r="KPR1153" s="14"/>
      <c r="KPS1153" s="14"/>
      <c r="KPT1153" s="14"/>
      <c r="KPU1153" s="14"/>
      <c r="KPV1153" s="14"/>
      <c r="KPW1153" s="14"/>
      <c r="KPX1153" s="14"/>
      <c r="KPY1153" s="14"/>
      <c r="KPZ1153" s="14"/>
      <c r="KQA1153" s="14"/>
      <c r="KQB1153" s="14"/>
      <c r="KQC1153" s="14"/>
      <c r="KQD1153" s="14"/>
      <c r="KQE1153" s="14"/>
      <c r="KQF1153" s="14"/>
      <c r="KQG1153" s="14"/>
      <c r="KQH1153" s="14"/>
      <c r="KQI1153" s="14"/>
      <c r="KQJ1153" s="14"/>
      <c r="KQK1153" s="14"/>
      <c r="KQL1153" s="14"/>
      <c r="KQM1153" s="14"/>
      <c r="KQN1153" s="14"/>
      <c r="KQO1153" s="14"/>
      <c r="KQP1153" s="14"/>
      <c r="KQQ1153" s="14"/>
      <c r="KQR1153" s="14"/>
      <c r="KQS1153" s="14"/>
      <c r="KQT1153" s="14"/>
      <c r="KQU1153" s="14"/>
      <c r="KQV1153" s="14"/>
      <c r="KQW1153" s="14"/>
      <c r="KQX1153" s="14"/>
      <c r="KQY1153" s="14"/>
      <c r="KQZ1153" s="14"/>
      <c r="KRA1153" s="14"/>
      <c r="KRB1153" s="14"/>
      <c r="KRC1153" s="14"/>
      <c r="KRD1153" s="14"/>
      <c r="KRE1153" s="14"/>
      <c r="KRF1153" s="14"/>
      <c r="KRG1153" s="14"/>
      <c r="KRH1153" s="14"/>
      <c r="KRI1153" s="14"/>
      <c r="KRJ1153" s="14"/>
      <c r="KRK1153" s="14"/>
      <c r="KRL1153" s="14"/>
      <c r="KRM1153" s="14"/>
      <c r="KRN1153" s="14"/>
      <c r="KRO1153" s="14"/>
      <c r="KRP1153" s="14"/>
      <c r="KRQ1153" s="14"/>
      <c r="KRR1153" s="14"/>
      <c r="KRS1153" s="14"/>
      <c r="KRT1153" s="14"/>
      <c r="KRU1153" s="14"/>
      <c r="KRV1153" s="14"/>
      <c r="KRW1153" s="14"/>
      <c r="KRX1153" s="14"/>
      <c r="KRY1153" s="14"/>
      <c r="KRZ1153" s="14"/>
      <c r="KSA1153" s="14"/>
      <c r="KSB1153" s="14"/>
      <c r="KSC1153" s="14"/>
      <c r="KSD1153" s="14"/>
      <c r="KSE1153" s="14"/>
      <c r="KSF1153" s="14"/>
      <c r="KSG1153" s="14"/>
      <c r="KSH1153" s="14"/>
      <c r="KSI1153" s="14"/>
      <c r="KSJ1153" s="14"/>
      <c r="KSK1153" s="14"/>
      <c r="KSL1153" s="14"/>
      <c r="KSM1153" s="14"/>
      <c r="KSN1153" s="14"/>
      <c r="KSO1153" s="14"/>
      <c r="KSP1153" s="14"/>
      <c r="KSQ1153" s="14"/>
      <c r="KSR1153" s="14"/>
      <c r="KSS1153" s="14"/>
      <c r="KST1153" s="14"/>
      <c r="KSU1153" s="14"/>
      <c r="KSV1153" s="14"/>
      <c r="KSW1153" s="14"/>
      <c r="KSX1153" s="14"/>
      <c r="KSY1153" s="14"/>
      <c r="KSZ1153" s="14"/>
      <c r="KTA1153" s="14"/>
      <c r="KTB1153" s="14"/>
      <c r="KTC1153" s="14"/>
      <c r="KTD1153" s="14"/>
      <c r="KTE1153" s="14"/>
      <c r="KTF1153" s="14"/>
      <c r="KTG1153" s="14"/>
      <c r="KTH1153" s="14"/>
      <c r="KTI1153" s="14"/>
      <c r="KTJ1153" s="14"/>
      <c r="KTK1153" s="14"/>
      <c r="KTL1153" s="14"/>
      <c r="KTM1153" s="14"/>
      <c r="KTN1153" s="14"/>
      <c r="KTO1153" s="14"/>
      <c r="KTP1153" s="14"/>
      <c r="KTQ1153" s="14"/>
      <c r="KTR1153" s="14"/>
      <c r="KTS1153" s="14"/>
      <c r="KTT1153" s="14"/>
      <c r="KTU1153" s="14"/>
      <c r="KTV1153" s="14"/>
      <c r="KTW1153" s="14"/>
      <c r="KTX1153" s="14"/>
      <c r="KTY1153" s="14"/>
      <c r="KTZ1153" s="14"/>
      <c r="KUA1153" s="14"/>
      <c r="KUB1153" s="14"/>
      <c r="KUC1153" s="14"/>
      <c r="KUD1153" s="14"/>
      <c r="KUE1153" s="14"/>
      <c r="KUF1153" s="14"/>
      <c r="KUG1153" s="14"/>
      <c r="KUH1153" s="14"/>
      <c r="KUI1153" s="14"/>
      <c r="KUJ1153" s="14"/>
      <c r="KUK1153" s="14"/>
      <c r="KUL1153" s="14"/>
      <c r="KUM1153" s="14"/>
      <c r="KUN1153" s="14"/>
      <c r="KUO1153" s="14"/>
      <c r="KUP1153" s="14"/>
      <c r="KUQ1153" s="14"/>
      <c r="KUR1153" s="14"/>
      <c r="KUS1153" s="14"/>
      <c r="KUT1153" s="14"/>
      <c r="KUU1153" s="14"/>
      <c r="KUV1153" s="14"/>
      <c r="KUW1153" s="14"/>
      <c r="KUX1153" s="14"/>
      <c r="KUY1153" s="14"/>
      <c r="KUZ1153" s="14"/>
      <c r="KVA1153" s="14"/>
      <c r="KVB1153" s="14"/>
      <c r="KVC1153" s="14"/>
      <c r="KVD1153" s="14"/>
      <c r="KVE1153" s="14"/>
      <c r="KVF1153" s="14"/>
      <c r="KVG1153" s="14"/>
      <c r="KVH1153" s="14"/>
      <c r="KVI1153" s="14"/>
      <c r="KVJ1153" s="14"/>
      <c r="KVK1153" s="14"/>
      <c r="KVL1153" s="14"/>
      <c r="KVM1153" s="14"/>
      <c r="KVN1153" s="14"/>
      <c r="KVO1153" s="14"/>
      <c r="KVP1153" s="14"/>
      <c r="KVQ1153" s="14"/>
      <c r="KVR1153" s="14"/>
      <c r="KVS1153" s="14"/>
      <c r="KVT1153" s="14"/>
      <c r="KVU1153" s="14"/>
      <c r="KVV1153" s="14"/>
      <c r="KVW1153" s="14"/>
      <c r="KVX1153" s="14"/>
      <c r="KVY1153" s="14"/>
      <c r="KVZ1153" s="14"/>
      <c r="KWA1153" s="14"/>
      <c r="KWB1153" s="14"/>
      <c r="KWC1153" s="14"/>
      <c r="KWD1153" s="14"/>
      <c r="KWE1153" s="14"/>
      <c r="KWF1153" s="14"/>
      <c r="KWG1153" s="14"/>
      <c r="KWH1153" s="14"/>
      <c r="KWI1153" s="14"/>
      <c r="KWJ1153" s="14"/>
      <c r="KWK1153" s="14"/>
      <c r="KWL1153" s="14"/>
      <c r="KWM1153" s="14"/>
      <c r="KWN1153" s="14"/>
      <c r="KWO1153" s="14"/>
      <c r="KWP1153" s="14"/>
      <c r="KWQ1153" s="14"/>
      <c r="KWR1153" s="14"/>
      <c r="KWS1153" s="14"/>
      <c r="KWT1153" s="14"/>
      <c r="KWU1153" s="14"/>
      <c r="KWV1153" s="14"/>
      <c r="KWW1153" s="14"/>
      <c r="KWX1153" s="14"/>
      <c r="KWY1153" s="14"/>
      <c r="KWZ1153" s="14"/>
      <c r="KXA1153" s="14"/>
      <c r="KXB1153" s="14"/>
      <c r="KXC1153" s="14"/>
      <c r="KXD1153" s="14"/>
      <c r="KXE1153" s="14"/>
      <c r="KXF1153" s="14"/>
      <c r="KXG1153" s="14"/>
      <c r="KXH1153" s="14"/>
      <c r="KXI1153" s="14"/>
      <c r="KXJ1153" s="14"/>
      <c r="KXK1153" s="14"/>
      <c r="KXL1153" s="14"/>
      <c r="KXM1153" s="14"/>
      <c r="KXN1153" s="14"/>
      <c r="KXO1153" s="14"/>
      <c r="KXP1153" s="14"/>
      <c r="KXQ1153" s="14"/>
      <c r="KXR1153" s="14"/>
      <c r="KXS1153" s="14"/>
      <c r="KXT1153" s="14"/>
      <c r="KXU1153" s="14"/>
      <c r="KXV1153" s="14"/>
      <c r="KXW1153" s="14"/>
      <c r="KXX1153" s="14"/>
      <c r="KXY1153" s="14"/>
      <c r="KXZ1153" s="14"/>
      <c r="KYA1153" s="14"/>
      <c r="KYB1153" s="14"/>
      <c r="KYC1153" s="14"/>
      <c r="KYD1153" s="14"/>
      <c r="KYE1153" s="14"/>
      <c r="KYF1153" s="14"/>
      <c r="KYG1153" s="14"/>
      <c r="KYH1153" s="14"/>
      <c r="KYI1153" s="14"/>
      <c r="KYJ1153" s="14"/>
      <c r="KYK1153" s="14"/>
      <c r="KYL1153" s="14"/>
      <c r="KYM1153" s="14"/>
      <c r="KYN1153" s="14"/>
      <c r="KYO1153" s="14"/>
      <c r="KYP1153" s="14"/>
      <c r="KYQ1153" s="14"/>
      <c r="KYR1153" s="14"/>
      <c r="KYS1153" s="14"/>
      <c r="KYT1153" s="14"/>
      <c r="KYU1153" s="14"/>
      <c r="KYV1153" s="14"/>
      <c r="KYW1153" s="14"/>
      <c r="KYX1153" s="14"/>
      <c r="KYY1153" s="14"/>
      <c r="KYZ1153" s="14"/>
      <c r="KZA1153" s="14"/>
      <c r="KZB1153" s="14"/>
      <c r="KZC1153" s="14"/>
      <c r="KZD1153" s="14"/>
      <c r="KZE1153" s="14"/>
      <c r="KZF1153" s="14"/>
      <c r="KZG1153" s="14"/>
      <c r="KZH1153" s="14"/>
      <c r="KZI1153" s="14"/>
      <c r="KZJ1153" s="14"/>
      <c r="KZK1153" s="14"/>
      <c r="KZL1153" s="14"/>
      <c r="KZM1153" s="14"/>
      <c r="KZN1153" s="14"/>
      <c r="KZO1153" s="14"/>
      <c r="KZP1153" s="14"/>
      <c r="KZQ1153" s="14"/>
      <c r="KZR1153" s="14"/>
      <c r="KZS1153" s="14"/>
      <c r="KZT1153" s="14"/>
      <c r="KZU1153" s="14"/>
      <c r="KZV1153" s="14"/>
      <c r="KZW1153" s="14"/>
      <c r="KZX1153" s="14"/>
      <c r="KZY1153" s="14"/>
      <c r="KZZ1153" s="14"/>
      <c r="LAA1153" s="14"/>
      <c r="LAB1153" s="14"/>
      <c r="LAC1153" s="14"/>
      <c r="LAD1153" s="14"/>
      <c r="LAE1153" s="14"/>
      <c r="LAF1153" s="14"/>
      <c r="LAG1153" s="14"/>
      <c r="LAH1153" s="14"/>
      <c r="LAI1153" s="14"/>
      <c r="LAJ1153" s="14"/>
      <c r="LAK1153" s="14"/>
      <c r="LAL1153" s="14"/>
      <c r="LAM1153" s="14"/>
      <c r="LAN1153" s="14"/>
      <c r="LAO1153" s="14"/>
      <c r="LAP1153" s="14"/>
      <c r="LAQ1153" s="14"/>
      <c r="LAR1153" s="14"/>
      <c r="LAS1153" s="14"/>
      <c r="LAT1153" s="14"/>
      <c r="LAU1153" s="14"/>
      <c r="LAV1153" s="14"/>
      <c r="LAW1153" s="14"/>
      <c r="LAX1153" s="14"/>
      <c r="LAY1153" s="14"/>
      <c r="LAZ1153" s="14"/>
      <c r="LBA1153" s="14"/>
      <c r="LBB1153" s="14"/>
      <c r="LBC1153" s="14"/>
      <c r="LBD1153" s="14"/>
      <c r="LBE1153" s="14"/>
      <c r="LBF1153" s="14"/>
      <c r="LBG1153" s="14"/>
      <c r="LBH1153" s="14"/>
      <c r="LBI1153" s="14"/>
      <c r="LBJ1153" s="14"/>
      <c r="LBK1153" s="14"/>
      <c r="LBL1153" s="14"/>
      <c r="LBM1153" s="14"/>
      <c r="LBN1153" s="14"/>
      <c r="LBO1153" s="14"/>
      <c r="LBP1153" s="14"/>
      <c r="LBQ1153" s="14"/>
      <c r="LBR1153" s="14"/>
      <c r="LBS1153" s="14"/>
      <c r="LBT1153" s="14"/>
      <c r="LBU1153" s="14"/>
      <c r="LBV1153" s="14"/>
      <c r="LBW1153" s="14"/>
      <c r="LBX1153" s="14"/>
      <c r="LBY1153" s="14"/>
      <c r="LBZ1153" s="14"/>
      <c r="LCA1153" s="14"/>
      <c r="LCB1153" s="14"/>
      <c r="LCC1153" s="14"/>
      <c r="LCD1153" s="14"/>
      <c r="LCE1153" s="14"/>
      <c r="LCF1153" s="14"/>
      <c r="LCG1153" s="14"/>
      <c r="LCH1153" s="14"/>
      <c r="LCI1153" s="14"/>
      <c r="LCJ1153" s="14"/>
      <c r="LCK1153" s="14"/>
      <c r="LCL1153" s="14"/>
      <c r="LCM1153" s="14"/>
      <c r="LCN1153" s="14"/>
      <c r="LCO1153" s="14"/>
      <c r="LCP1153" s="14"/>
      <c r="LCQ1153" s="14"/>
      <c r="LCR1153" s="14"/>
      <c r="LCS1153" s="14"/>
      <c r="LCT1153" s="14"/>
      <c r="LCU1153" s="14"/>
      <c r="LCV1153" s="14"/>
      <c r="LCW1153" s="14"/>
      <c r="LCX1153" s="14"/>
      <c r="LCY1153" s="14"/>
      <c r="LCZ1153" s="14"/>
      <c r="LDA1153" s="14"/>
      <c r="LDB1153" s="14"/>
      <c r="LDC1153" s="14"/>
      <c r="LDD1153" s="14"/>
      <c r="LDE1153" s="14"/>
      <c r="LDF1153" s="14"/>
      <c r="LDG1153" s="14"/>
      <c r="LDH1153" s="14"/>
      <c r="LDI1153" s="14"/>
      <c r="LDJ1153" s="14"/>
      <c r="LDK1153" s="14"/>
      <c r="LDL1153" s="14"/>
      <c r="LDM1153" s="14"/>
      <c r="LDN1153" s="14"/>
      <c r="LDO1153" s="14"/>
      <c r="LDP1153" s="14"/>
      <c r="LDQ1153" s="14"/>
      <c r="LDR1153" s="14"/>
      <c r="LDS1153" s="14"/>
      <c r="LDT1153" s="14"/>
      <c r="LDU1153" s="14"/>
      <c r="LDV1153" s="14"/>
      <c r="LDW1153" s="14"/>
      <c r="LDX1153" s="14"/>
      <c r="LDY1153" s="14"/>
      <c r="LDZ1153" s="14"/>
      <c r="LEA1153" s="14"/>
      <c r="LEB1153" s="14"/>
      <c r="LEC1153" s="14"/>
      <c r="LED1153" s="14"/>
      <c r="LEE1153" s="14"/>
      <c r="LEF1153" s="14"/>
      <c r="LEG1153" s="14"/>
      <c r="LEH1153" s="14"/>
      <c r="LEI1153" s="14"/>
      <c r="LEJ1153" s="14"/>
      <c r="LEK1153" s="14"/>
      <c r="LEL1153" s="14"/>
      <c r="LEM1153" s="14"/>
      <c r="LEN1153" s="14"/>
      <c r="LEO1153" s="14"/>
      <c r="LEP1153" s="14"/>
      <c r="LEQ1153" s="14"/>
      <c r="LER1153" s="14"/>
      <c r="LES1153" s="14"/>
      <c r="LET1153" s="14"/>
      <c r="LEU1153" s="14"/>
      <c r="LEV1153" s="14"/>
      <c r="LEW1153" s="14"/>
      <c r="LEX1153" s="14"/>
      <c r="LEY1153" s="14"/>
      <c r="LEZ1153" s="14"/>
      <c r="LFA1153" s="14"/>
      <c r="LFB1153" s="14"/>
      <c r="LFC1153" s="14"/>
      <c r="LFD1153" s="14"/>
      <c r="LFE1153" s="14"/>
      <c r="LFF1153" s="14"/>
      <c r="LFG1153" s="14"/>
      <c r="LFH1153" s="14"/>
      <c r="LFI1153" s="14"/>
      <c r="LFJ1153" s="14"/>
      <c r="LFK1153" s="14"/>
      <c r="LFL1153" s="14"/>
      <c r="LFM1153" s="14"/>
      <c r="LFN1153" s="14"/>
      <c r="LFO1153" s="14"/>
      <c r="LFP1153" s="14"/>
      <c r="LFQ1153" s="14"/>
      <c r="LFR1153" s="14"/>
      <c r="LFS1153" s="14"/>
      <c r="LFT1153" s="14"/>
      <c r="LFU1153" s="14"/>
      <c r="LFV1153" s="14"/>
      <c r="LFW1153" s="14"/>
      <c r="LFX1153" s="14"/>
      <c r="LFY1153" s="14"/>
      <c r="LFZ1153" s="14"/>
      <c r="LGA1153" s="14"/>
      <c r="LGB1153" s="14"/>
      <c r="LGC1153" s="14"/>
      <c r="LGD1153" s="14"/>
      <c r="LGE1153" s="14"/>
      <c r="LGF1153" s="14"/>
      <c r="LGG1153" s="14"/>
      <c r="LGH1153" s="14"/>
      <c r="LGI1153" s="14"/>
      <c r="LGJ1153" s="14"/>
      <c r="LGK1153" s="14"/>
      <c r="LGL1153" s="14"/>
      <c r="LGM1153" s="14"/>
      <c r="LGN1153" s="14"/>
      <c r="LGO1153" s="14"/>
      <c r="LGP1153" s="14"/>
      <c r="LGQ1153" s="14"/>
      <c r="LGR1153" s="14"/>
      <c r="LGS1153" s="14"/>
      <c r="LGT1153" s="14"/>
      <c r="LGU1153" s="14"/>
      <c r="LGV1153" s="14"/>
      <c r="LGW1153" s="14"/>
      <c r="LGX1153" s="14"/>
      <c r="LGY1153" s="14"/>
      <c r="LGZ1153" s="14"/>
      <c r="LHA1153" s="14"/>
      <c r="LHB1153" s="14"/>
      <c r="LHC1153" s="14"/>
      <c r="LHD1153" s="14"/>
      <c r="LHE1153" s="14"/>
      <c r="LHF1153" s="14"/>
      <c r="LHG1153" s="14"/>
      <c r="LHH1153" s="14"/>
      <c r="LHI1153" s="14"/>
      <c r="LHJ1153" s="14"/>
      <c r="LHK1153" s="14"/>
      <c r="LHL1153" s="14"/>
      <c r="LHM1153" s="14"/>
      <c r="LHN1153" s="14"/>
      <c r="LHO1153" s="14"/>
      <c r="LHP1153" s="14"/>
      <c r="LHQ1153" s="14"/>
      <c r="LHR1153" s="14"/>
      <c r="LHS1153" s="14"/>
      <c r="LHT1153" s="14"/>
      <c r="LHU1153" s="14"/>
      <c r="LHV1153" s="14"/>
      <c r="LHW1153" s="14"/>
      <c r="LHX1153" s="14"/>
      <c r="LHY1153" s="14"/>
      <c r="LHZ1153" s="14"/>
      <c r="LIA1153" s="14"/>
      <c r="LIB1153" s="14"/>
      <c r="LIC1153" s="14"/>
      <c r="LID1153" s="14"/>
      <c r="LIE1153" s="14"/>
      <c r="LIF1153" s="14"/>
      <c r="LIG1153" s="14"/>
      <c r="LIH1153" s="14"/>
      <c r="LII1153" s="14"/>
      <c r="LIJ1153" s="14"/>
      <c r="LIK1153" s="14"/>
      <c r="LIL1153" s="14"/>
      <c r="LIM1153" s="14"/>
      <c r="LIN1153" s="14"/>
      <c r="LIO1153" s="14"/>
      <c r="LIP1153" s="14"/>
      <c r="LIQ1153" s="14"/>
      <c r="LIR1153" s="14"/>
      <c r="LIS1153" s="14"/>
      <c r="LIT1153" s="14"/>
      <c r="LIU1153" s="14"/>
      <c r="LIV1153" s="14"/>
      <c r="LIW1153" s="14"/>
      <c r="LIX1153" s="14"/>
      <c r="LIY1153" s="14"/>
      <c r="LIZ1153" s="14"/>
      <c r="LJA1153" s="14"/>
      <c r="LJB1153" s="14"/>
      <c r="LJC1153" s="14"/>
      <c r="LJD1153" s="14"/>
      <c r="LJE1153" s="14"/>
      <c r="LJF1153" s="14"/>
      <c r="LJG1153" s="14"/>
      <c r="LJH1153" s="14"/>
      <c r="LJI1153" s="14"/>
      <c r="LJJ1153" s="14"/>
      <c r="LJK1153" s="14"/>
      <c r="LJL1153" s="14"/>
      <c r="LJM1153" s="14"/>
      <c r="LJN1153" s="14"/>
      <c r="LJO1153" s="14"/>
      <c r="LJP1153" s="14"/>
      <c r="LJQ1153" s="14"/>
      <c r="LJR1153" s="14"/>
      <c r="LJS1153" s="14"/>
      <c r="LJT1153" s="14"/>
      <c r="LJU1153" s="14"/>
      <c r="LJV1153" s="14"/>
      <c r="LJW1153" s="14"/>
      <c r="LJX1153" s="14"/>
      <c r="LJY1153" s="14"/>
      <c r="LJZ1153" s="14"/>
      <c r="LKA1153" s="14"/>
      <c r="LKB1153" s="14"/>
      <c r="LKC1153" s="14"/>
      <c r="LKD1153" s="14"/>
      <c r="LKE1153" s="14"/>
      <c r="LKF1153" s="14"/>
      <c r="LKG1153" s="14"/>
      <c r="LKH1153" s="14"/>
      <c r="LKI1153" s="14"/>
      <c r="LKJ1153" s="14"/>
      <c r="LKK1153" s="14"/>
      <c r="LKL1153" s="14"/>
      <c r="LKM1153" s="14"/>
      <c r="LKN1153" s="14"/>
      <c r="LKO1153" s="14"/>
      <c r="LKP1153" s="14"/>
      <c r="LKQ1153" s="14"/>
      <c r="LKR1153" s="14"/>
      <c r="LKS1153" s="14"/>
      <c r="LKT1153" s="14"/>
      <c r="LKU1153" s="14"/>
      <c r="LKV1153" s="14"/>
      <c r="LKW1153" s="14"/>
      <c r="LKX1153" s="14"/>
      <c r="LKY1153" s="14"/>
      <c r="LKZ1153" s="14"/>
      <c r="LLA1153" s="14"/>
      <c r="LLB1153" s="14"/>
      <c r="LLC1153" s="14"/>
      <c r="LLD1153" s="14"/>
      <c r="LLE1153" s="14"/>
      <c r="LLF1153" s="14"/>
      <c r="LLG1153" s="14"/>
      <c r="LLH1153" s="14"/>
      <c r="LLI1153" s="14"/>
      <c r="LLJ1153" s="14"/>
      <c r="LLK1153" s="14"/>
      <c r="LLL1153" s="14"/>
      <c r="LLM1153" s="14"/>
      <c r="LLN1153" s="14"/>
      <c r="LLO1153" s="14"/>
      <c r="LLP1153" s="14"/>
      <c r="LLQ1153" s="14"/>
      <c r="LLR1153" s="14"/>
      <c r="LLS1153" s="14"/>
      <c r="LLT1153" s="14"/>
      <c r="LLU1153" s="14"/>
      <c r="LLV1153" s="14"/>
      <c r="LLW1153" s="14"/>
      <c r="LLX1153" s="14"/>
      <c r="LLY1153" s="14"/>
      <c r="LLZ1153" s="14"/>
      <c r="LMA1153" s="14"/>
      <c r="LMB1153" s="14"/>
      <c r="LMC1153" s="14"/>
      <c r="LMD1153" s="14"/>
      <c r="LME1153" s="14"/>
      <c r="LMF1153" s="14"/>
      <c r="LMG1153" s="14"/>
      <c r="LMH1153" s="14"/>
      <c r="LMI1153" s="14"/>
      <c r="LMJ1153" s="14"/>
      <c r="LMK1153" s="14"/>
      <c r="LML1153" s="14"/>
      <c r="LMM1153" s="14"/>
      <c r="LMN1153" s="14"/>
      <c r="LMO1153" s="14"/>
      <c r="LMP1153" s="14"/>
      <c r="LMQ1153" s="14"/>
      <c r="LMR1153" s="14"/>
      <c r="LMS1153" s="14"/>
      <c r="LMT1153" s="14"/>
      <c r="LMU1153" s="14"/>
      <c r="LMV1153" s="14"/>
      <c r="LMW1153" s="14"/>
      <c r="LMX1153" s="14"/>
      <c r="LMY1153" s="14"/>
      <c r="LMZ1153" s="14"/>
      <c r="LNA1153" s="14"/>
      <c r="LNB1153" s="14"/>
      <c r="LNC1153" s="14"/>
      <c r="LND1153" s="14"/>
      <c r="LNE1153" s="14"/>
      <c r="LNF1153" s="14"/>
      <c r="LNG1153" s="14"/>
      <c r="LNH1153" s="14"/>
      <c r="LNI1153" s="14"/>
      <c r="LNJ1153" s="14"/>
      <c r="LNK1153" s="14"/>
      <c r="LNL1153" s="14"/>
      <c r="LNM1153" s="14"/>
      <c r="LNN1153" s="14"/>
      <c r="LNO1153" s="14"/>
      <c r="LNP1153" s="14"/>
      <c r="LNQ1153" s="14"/>
      <c r="LNR1153" s="14"/>
      <c r="LNS1153" s="14"/>
      <c r="LNT1153" s="14"/>
      <c r="LNU1153" s="14"/>
      <c r="LNV1153" s="14"/>
      <c r="LNW1153" s="14"/>
      <c r="LNX1153" s="14"/>
      <c r="LNY1153" s="14"/>
      <c r="LNZ1153" s="14"/>
      <c r="LOA1153" s="14"/>
      <c r="LOB1153" s="14"/>
      <c r="LOC1153" s="14"/>
      <c r="LOD1153" s="14"/>
      <c r="LOE1153" s="14"/>
      <c r="LOF1153" s="14"/>
      <c r="LOG1153" s="14"/>
      <c r="LOH1153" s="14"/>
      <c r="LOI1153" s="14"/>
      <c r="LOJ1153" s="14"/>
      <c r="LOK1153" s="14"/>
      <c r="LOL1153" s="14"/>
      <c r="LOM1153" s="14"/>
      <c r="LON1153" s="14"/>
      <c r="LOO1153" s="14"/>
      <c r="LOP1153" s="14"/>
      <c r="LOQ1153" s="14"/>
      <c r="LOR1153" s="14"/>
      <c r="LOS1153" s="14"/>
      <c r="LOT1153" s="14"/>
      <c r="LOU1153" s="14"/>
      <c r="LOV1153" s="14"/>
      <c r="LOW1153" s="14"/>
      <c r="LOX1153" s="14"/>
      <c r="LOY1153" s="14"/>
      <c r="LOZ1153" s="14"/>
      <c r="LPA1153" s="14"/>
      <c r="LPB1153" s="14"/>
      <c r="LPC1153" s="14"/>
      <c r="LPD1153" s="14"/>
      <c r="LPE1153" s="14"/>
      <c r="LPF1153" s="14"/>
      <c r="LPG1153" s="14"/>
      <c r="LPH1153" s="14"/>
      <c r="LPI1153" s="14"/>
      <c r="LPJ1153" s="14"/>
      <c r="LPK1153" s="14"/>
      <c r="LPL1153" s="14"/>
      <c r="LPM1153" s="14"/>
      <c r="LPN1153" s="14"/>
      <c r="LPO1153" s="14"/>
      <c r="LPP1153" s="14"/>
      <c r="LPQ1153" s="14"/>
      <c r="LPR1153" s="14"/>
      <c r="LPS1153" s="14"/>
      <c r="LPT1153" s="14"/>
      <c r="LPU1153" s="14"/>
      <c r="LPV1153" s="14"/>
      <c r="LPW1153" s="14"/>
      <c r="LPX1153" s="14"/>
      <c r="LPY1153" s="14"/>
      <c r="LPZ1153" s="14"/>
      <c r="LQA1153" s="14"/>
      <c r="LQB1153" s="14"/>
      <c r="LQC1153" s="14"/>
      <c r="LQD1153" s="14"/>
      <c r="LQE1153" s="14"/>
      <c r="LQF1153" s="14"/>
      <c r="LQG1153" s="14"/>
      <c r="LQH1153" s="14"/>
      <c r="LQI1153" s="14"/>
      <c r="LQJ1153" s="14"/>
      <c r="LQK1153" s="14"/>
      <c r="LQL1153" s="14"/>
      <c r="LQM1153" s="14"/>
      <c r="LQN1153" s="14"/>
      <c r="LQO1153" s="14"/>
      <c r="LQP1153" s="14"/>
      <c r="LQQ1153" s="14"/>
      <c r="LQR1153" s="14"/>
      <c r="LQS1153" s="14"/>
      <c r="LQT1153" s="14"/>
      <c r="LQU1153" s="14"/>
      <c r="LQV1153" s="14"/>
      <c r="LQW1153" s="14"/>
      <c r="LQX1153" s="14"/>
      <c r="LQY1153" s="14"/>
      <c r="LQZ1153" s="14"/>
      <c r="LRA1153" s="14"/>
      <c r="LRB1153" s="14"/>
      <c r="LRC1153" s="14"/>
      <c r="LRD1153" s="14"/>
      <c r="LRE1153" s="14"/>
      <c r="LRF1153" s="14"/>
      <c r="LRG1153" s="14"/>
      <c r="LRH1153" s="14"/>
      <c r="LRI1153" s="14"/>
      <c r="LRJ1153" s="14"/>
      <c r="LRK1153" s="14"/>
      <c r="LRL1153" s="14"/>
      <c r="LRM1153" s="14"/>
      <c r="LRN1153" s="14"/>
      <c r="LRO1153" s="14"/>
      <c r="LRP1153" s="14"/>
      <c r="LRQ1153" s="14"/>
      <c r="LRR1153" s="14"/>
      <c r="LRS1153" s="14"/>
      <c r="LRT1153" s="14"/>
      <c r="LRU1153" s="14"/>
      <c r="LRV1153" s="14"/>
      <c r="LRW1153" s="14"/>
      <c r="LRX1153" s="14"/>
      <c r="LRY1153" s="14"/>
      <c r="LRZ1153" s="14"/>
      <c r="LSA1153" s="14"/>
      <c r="LSB1153" s="14"/>
      <c r="LSC1153" s="14"/>
      <c r="LSD1153" s="14"/>
      <c r="LSE1153" s="14"/>
      <c r="LSF1153" s="14"/>
      <c r="LSG1153" s="14"/>
      <c r="LSH1153" s="14"/>
      <c r="LSI1153" s="14"/>
      <c r="LSJ1153" s="14"/>
      <c r="LSK1153" s="14"/>
      <c r="LSL1153" s="14"/>
      <c r="LSM1153" s="14"/>
      <c r="LSN1153" s="14"/>
      <c r="LSO1153" s="14"/>
      <c r="LSP1153" s="14"/>
      <c r="LSQ1153" s="14"/>
      <c r="LSR1153" s="14"/>
      <c r="LSS1153" s="14"/>
      <c r="LST1153" s="14"/>
      <c r="LSU1153" s="14"/>
      <c r="LSV1153" s="14"/>
      <c r="LSW1153" s="14"/>
      <c r="LSX1153" s="14"/>
      <c r="LSY1153" s="14"/>
      <c r="LSZ1153" s="14"/>
      <c r="LTA1153" s="14"/>
      <c r="LTB1153" s="14"/>
      <c r="LTC1153" s="14"/>
      <c r="LTD1153" s="14"/>
      <c r="LTE1153" s="14"/>
      <c r="LTF1153" s="14"/>
      <c r="LTG1153" s="14"/>
      <c r="LTH1153" s="14"/>
      <c r="LTI1153" s="14"/>
      <c r="LTJ1153" s="14"/>
      <c r="LTK1153" s="14"/>
      <c r="LTL1153" s="14"/>
      <c r="LTM1153" s="14"/>
      <c r="LTN1153" s="14"/>
      <c r="LTO1153" s="14"/>
      <c r="LTP1153" s="14"/>
      <c r="LTQ1153" s="14"/>
      <c r="LTR1153" s="14"/>
      <c r="LTS1153" s="14"/>
      <c r="LTT1153" s="14"/>
      <c r="LTU1153" s="14"/>
      <c r="LTV1153" s="14"/>
      <c r="LTW1153" s="14"/>
      <c r="LTX1153" s="14"/>
      <c r="LTY1153" s="14"/>
      <c r="LTZ1153" s="14"/>
      <c r="LUA1153" s="14"/>
      <c r="LUB1153" s="14"/>
      <c r="LUC1153" s="14"/>
      <c r="LUD1153" s="14"/>
      <c r="LUE1153" s="14"/>
      <c r="LUF1153" s="14"/>
      <c r="LUG1153" s="14"/>
      <c r="LUH1153" s="14"/>
      <c r="LUI1153" s="14"/>
      <c r="LUJ1153" s="14"/>
      <c r="LUK1153" s="14"/>
      <c r="LUL1153" s="14"/>
      <c r="LUM1153" s="14"/>
      <c r="LUN1153" s="14"/>
      <c r="LUO1153" s="14"/>
      <c r="LUP1153" s="14"/>
      <c r="LUQ1153" s="14"/>
      <c r="LUR1153" s="14"/>
      <c r="LUS1153" s="14"/>
      <c r="LUT1153" s="14"/>
      <c r="LUU1153" s="14"/>
      <c r="LUV1153" s="14"/>
      <c r="LUW1153" s="14"/>
      <c r="LUX1153" s="14"/>
      <c r="LUY1153" s="14"/>
      <c r="LUZ1153" s="14"/>
      <c r="LVA1153" s="14"/>
      <c r="LVB1153" s="14"/>
      <c r="LVC1153" s="14"/>
      <c r="LVD1153" s="14"/>
      <c r="LVE1153" s="14"/>
      <c r="LVF1153" s="14"/>
      <c r="LVG1153" s="14"/>
      <c r="LVH1153" s="14"/>
      <c r="LVI1153" s="14"/>
      <c r="LVJ1153" s="14"/>
      <c r="LVK1153" s="14"/>
      <c r="LVL1153" s="14"/>
      <c r="LVM1153" s="14"/>
      <c r="LVN1153" s="14"/>
      <c r="LVO1153" s="14"/>
      <c r="LVP1153" s="14"/>
      <c r="LVQ1153" s="14"/>
      <c r="LVR1153" s="14"/>
      <c r="LVS1153" s="14"/>
      <c r="LVT1153" s="14"/>
      <c r="LVU1153" s="14"/>
      <c r="LVV1153" s="14"/>
      <c r="LVW1153" s="14"/>
      <c r="LVX1153" s="14"/>
      <c r="LVY1153" s="14"/>
      <c r="LVZ1153" s="14"/>
      <c r="LWA1153" s="14"/>
      <c r="LWB1153" s="14"/>
      <c r="LWC1153" s="14"/>
      <c r="LWD1153" s="14"/>
      <c r="LWE1153" s="14"/>
      <c r="LWF1153" s="14"/>
      <c r="LWG1153" s="14"/>
      <c r="LWH1153" s="14"/>
      <c r="LWI1153" s="14"/>
      <c r="LWJ1153" s="14"/>
      <c r="LWK1153" s="14"/>
      <c r="LWL1153" s="14"/>
      <c r="LWM1153" s="14"/>
      <c r="LWN1153" s="14"/>
      <c r="LWO1153" s="14"/>
      <c r="LWP1153" s="14"/>
      <c r="LWQ1153" s="14"/>
      <c r="LWR1153" s="14"/>
      <c r="LWS1153" s="14"/>
      <c r="LWT1153" s="14"/>
      <c r="LWU1153" s="14"/>
      <c r="LWV1153" s="14"/>
      <c r="LWW1153" s="14"/>
      <c r="LWX1153" s="14"/>
      <c r="LWY1153" s="14"/>
      <c r="LWZ1153" s="14"/>
      <c r="LXA1153" s="14"/>
      <c r="LXB1153" s="14"/>
      <c r="LXC1153" s="14"/>
      <c r="LXD1153" s="14"/>
      <c r="LXE1153" s="14"/>
      <c r="LXF1153" s="14"/>
      <c r="LXG1153" s="14"/>
      <c r="LXH1153" s="14"/>
      <c r="LXI1153" s="14"/>
      <c r="LXJ1153" s="14"/>
      <c r="LXK1153" s="14"/>
      <c r="LXL1153" s="14"/>
      <c r="LXM1153" s="14"/>
      <c r="LXN1153" s="14"/>
      <c r="LXO1153" s="14"/>
      <c r="LXP1153" s="14"/>
      <c r="LXQ1153" s="14"/>
      <c r="LXR1153" s="14"/>
      <c r="LXS1153" s="14"/>
      <c r="LXT1153" s="14"/>
      <c r="LXU1153" s="14"/>
      <c r="LXV1153" s="14"/>
      <c r="LXW1153" s="14"/>
      <c r="LXX1153" s="14"/>
      <c r="LXY1153" s="14"/>
      <c r="LXZ1153" s="14"/>
      <c r="LYA1153" s="14"/>
      <c r="LYB1153" s="14"/>
      <c r="LYC1153" s="14"/>
      <c r="LYD1153" s="14"/>
      <c r="LYE1153" s="14"/>
      <c r="LYF1153" s="14"/>
      <c r="LYG1153" s="14"/>
      <c r="LYH1153" s="14"/>
      <c r="LYI1153" s="14"/>
      <c r="LYJ1153" s="14"/>
      <c r="LYK1153" s="14"/>
      <c r="LYL1153" s="14"/>
      <c r="LYM1153" s="14"/>
      <c r="LYN1153" s="14"/>
      <c r="LYO1153" s="14"/>
      <c r="LYP1153" s="14"/>
      <c r="LYQ1153" s="14"/>
      <c r="LYR1153" s="14"/>
      <c r="LYS1153" s="14"/>
      <c r="LYT1153" s="14"/>
      <c r="LYU1153" s="14"/>
      <c r="LYV1153" s="14"/>
      <c r="LYW1153" s="14"/>
      <c r="LYX1153" s="14"/>
      <c r="LYY1153" s="14"/>
      <c r="LYZ1153" s="14"/>
      <c r="LZA1153" s="14"/>
      <c r="LZB1153" s="14"/>
      <c r="LZC1153" s="14"/>
      <c r="LZD1153" s="14"/>
      <c r="LZE1153" s="14"/>
      <c r="LZF1153" s="14"/>
      <c r="LZG1153" s="14"/>
      <c r="LZH1153" s="14"/>
      <c r="LZI1153" s="14"/>
      <c r="LZJ1153" s="14"/>
      <c r="LZK1153" s="14"/>
      <c r="LZL1153" s="14"/>
      <c r="LZM1153" s="14"/>
      <c r="LZN1153" s="14"/>
      <c r="LZO1153" s="14"/>
      <c r="LZP1153" s="14"/>
      <c r="LZQ1153" s="14"/>
      <c r="LZR1153" s="14"/>
      <c r="LZS1153" s="14"/>
      <c r="LZT1153" s="14"/>
      <c r="LZU1153" s="14"/>
      <c r="LZV1153" s="14"/>
      <c r="LZW1153" s="14"/>
      <c r="LZX1153" s="14"/>
      <c r="LZY1153" s="14"/>
      <c r="LZZ1153" s="14"/>
      <c r="MAA1153" s="14"/>
      <c r="MAB1153" s="14"/>
      <c r="MAC1153" s="14"/>
      <c r="MAD1153" s="14"/>
      <c r="MAE1153" s="14"/>
      <c r="MAF1153" s="14"/>
      <c r="MAG1153" s="14"/>
      <c r="MAH1153" s="14"/>
      <c r="MAI1153" s="14"/>
      <c r="MAJ1153" s="14"/>
      <c r="MAK1153" s="14"/>
      <c r="MAL1153" s="14"/>
      <c r="MAM1153" s="14"/>
      <c r="MAN1153" s="14"/>
      <c r="MAO1153" s="14"/>
      <c r="MAP1153" s="14"/>
      <c r="MAQ1153" s="14"/>
      <c r="MAR1153" s="14"/>
      <c r="MAS1153" s="14"/>
      <c r="MAT1153" s="14"/>
      <c r="MAU1153" s="14"/>
      <c r="MAV1153" s="14"/>
      <c r="MAW1153" s="14"/>
      <c r="MAX1153" s="14"/>
      <c r="MAY1153" s="14"/>
      <c r="MAZ1153" s="14"/>
      <c r="MBA1153" s="14"/>
      <c r="MBB1153" s="14"/>
      <c r="MBC1153" s="14"/>
      <c r="MBD1153" s="14"/>
      <c r="MBE1153" s="14"/>
      <c r="MBF1153" s="14"/>
      <c r="MBG1153" s="14"/>
      <c r="MBH1153" s="14"/>
      <c r="MBI1153" s="14"/>
      <c r="MBJ1153" s="14"/>
      <c r="MBK1153" s="14"/>
      <c r="MBL1153" s="14"/>
      <c r="MBM1153" s="14"/>
      <c r="MBN1153" s="14"/>
      <c r="MBO1153" s="14"/>
      <c r="MBP1153" s="14"/>
      <c r="MBQ1153" s="14"/>
      <c r="MBR1153" s="14"/>
      <c r="MBS1153" s="14"/>
      <c r="MBT1153" s="14"/>
      <c r="MBU1153" s="14"/>
      <c r="MBV1153" s="14"/>
      <c r="MBW1153" s="14"/>
      <c r="MBX1153" s="14"/>
      <c r="MBY1153" s="14"/>
      <c r="MBZ1153" s="14"/>
      <c r="MCA1153" s="14"/>
      <c r="MCB1153" s="14"/>
      <c r="MCC1153" s="14"/>
      <c r="MCD1153" s="14"/>
      <c r="MCE1153" s="14"/>
      <c r="MCF1153" s="14"/>
      <c r="MCG1153" s="14"/>
      <c r="MCH1153" s="14"/>
      <c r="MCI1153" s="14"/>
      <c r="MCJ1153" s="14"/>
      <c r="MCK1153" s="14"/>
      <c r="MCL1153" s="14"/>
      <c r="MCM1153" s="14"/>
      <c r="MCN1153" s="14"/>
      <c r="MCO1153" s="14"/>
      <c r="MCP1153" s="14"/>
      <c r="MCQ1153" s="14"/>
      <c r="MCR1153" s="14"/>
      <c r="MCS1153" s="14"/>
      <c r="MCT1153" s="14"/>
      <c r="MCU1153" s="14"/>
      <c r="MCV1153" s="14"/>
      <c r="MCW1153" s="14"/>
      <c r="MCX1153" s="14"/>
      <c r="MCY1153" s="14"/>
      <c r="MCZ1153" s="14"/>
      <c r="MDA1153" s="14"/>
      <c r="MDB1153" s="14"/>
      <c r="MDC1153" s="14"/>
      <c r="MDD1153" s="14"/>
      <c r="MDE1153" s="14"/>
      <c r="MDF1153" s="14"/>
      <c r="MDG1153" s="14"/>
      <c r="MDH1153" s="14"/>
      <c r="MDI1153" s="14"/>
      <c r="MDJ1153" s="14"/>
      <c r="MDK1153" s="14"/>
      <c r="MDL1153" s="14"/>
      <c r="MDM1153" s="14"/>
      <c r="MDN1153" s="14"/>
      <c r="MDO1153" s="14"/>
      <c r="MDP1153" s="14"/>
      <c r="MDQ1153" s="14"/>
      <c r="MDR1153" s="14"/>
      <c r="MDS1153" s="14"/>
      <c r="MDT1153" s="14"/>
      <c r="MDU1153" s="14"/>
      <c r="MDV1153" s="14"/>
      <c r="MDW1153" s="14"/>
      <c r="MDX1153" s="14"/>
      <c r="MDY1153" s="14"/>
      <c r="MDZ1153" s="14"/>
      <c r="MEA1153" s="14"/>
      <c r="MEB1153" s="14"/>
      <c r="MEC1153" s="14"/>
      <c r="MED1153" s="14"/>
      <c r="MEE1153" s="14"/>
      <c r="MEF1153" s="14"/>
      <c r="MEG1153" s="14"/>
      <c r="MEH1153" s="14"/>
      <c r="MEI1153" s="14"/>
      <c r="MEJ1153" s="14"/>
      <c r="MEK1153" s="14"/>
      <c r="MEL1153" s="14"/>
      <c r="MEM1153" s="14"/>
      <c r="MEN1153" s="14"/>
      <c r="MEO1153" s="14"/>
      <c r="MEP1153" s="14"/>
      <c r="MEQ1153" s="14"/>
      <c r="MER1153" s="14"/>
      <c r="MES1153" s="14"/>
      <c r="MET1153" s="14"/>
      <c r="MEU1153" s="14"/>
      <c r="MEV1153" s="14"/>
      <c r="MEW1153" s="14"/>
      <c r="MEX1153" s="14"/>
      <c r="MEY1153" s="14"/>
      <c r="MEZ1153" s="14"/>
      <c r="MFA1153" s="14"/>
      <c r="MFB1153" s="14"/>
      <c r="MFC1153" s="14"/>
      <c r="MFD1153" s="14"/>
      <c r="MFE1153" s="14"/>
      <c r="MFF1153" s="14"/>
      <c r="MFG1153" s="14"/>
      <c r="MFH1153" s="14"/>
      <c r="MFI1153" s="14"/>
      <c r="MFJ1153" s="14"/>
      <c r="MFK1153" s="14"/>
      <c r="MFL1153" s="14"/>
      <c r="MFM1153" s="14"/>
      <c r="MFN1153" s="14"/>
      <c r="MFO1153" s="14"/>
      <c r="MFP1153" s="14"/>
      <c r="MFQ1153" s="14"/>
      <c r="MFR1153" s="14"/>
      <c r="MFS1153" s="14"/>
      <c r="MFT1153" s="14"/>
      <c r="MFU1153" s="14"/>
      <c r="MFV1153" s="14"/>
      <c r="MFW1153" s="14"/>
      <c r="MFX1153" s="14"/>
      <c r="MFY1153" s="14"/>
      <c r="MFZ1153" s="14"/>
      <c r="MGA1153" s="14"/>
      <c r="MGB1153" s="14"/>
      <c r="MGC1153" s="14"/>
      <c r="MGD1153" s="14"/>
      <c r="MGE1153" s="14"/>
      <c r="MGF1153" s="14"/>
      <c r="MGG1153" s="14"/>
      <c r="MGH1153" s="14"/>
      <c r="MGI1153" s="14"/>
      <c r="MGJ1153" s="14"/>
      <c r="MGK1153" s="14"/>
      <c r="MGL1153" s="14"/>
      <c r="MGM1153" s="14"/>
      <c r="MGN1153" s="14"/>
      <c r="MGO1153" s="14"/>
      <c r="MGP1153" s="14"/>
      <c r="MGQ1153" s="14"/>
      <c r="MGR1153" s="14"/>
      <c r="MGS1153" s="14"/>
      <c r="MGT1153" s="14"/>
      <c r="MGU1153" s="14"/>
      <c r="MGV1153" s="14"/>
      <c r="MGW1153" s="14"/>
      <c r="MGX1153" s="14"/>
      <c r="MGY1153" s="14"/>
      <c r="MGZ1153" s="14"/>
      <c r="MHA1153" s="14"/>
      <c r="MHB1153" s="14"/>
      <c r="MHC1153" s="14"/>
      <c r="MHD1153" s="14"/>
      <c r="MHE1153" s="14"/>
      <c r="MHF1153" s="14"/>
      <c r="MHG1153" s="14"/>
      <c r="MHH1153" s="14"/>
      <c r="MHI1153" s="14"/>
      <c r="MHJ1153" s="14"/>
      <c r="MHK1153" s="14"/>
      <c r="MHL1153" s="14"/>
      <c r="MHM1153" s="14"/>
      <c r="MHN1153" s="14"/>
      <c r="MHO1153" s="14"/>
      <c r="MHP1153" s="14"/>
      <c r="MHQ1153" s="14"/>
      <c r="MHR1153" s="14"/>
      <c r="MHS1153" s="14"/>
      <c r="MHT1153" s="14"/>
      <c r="MHU1153" s="14"/>
      <c r="MHV1153" s="14"/>
      <c r="MHW1153" s="14"/>
      <c r="MHX1153" s="14"/>
      <c r="MHY1153" s="14"/>
      <c r="MHZ1153" s="14"/>
      <c r="MIA1153" s="14"/>
      <c r="MIB1153" s="14"/>
      <c r="MIC1153" s="14"/>
      <c r="MID1153" s="14"/>
      <c r="MIE1153" s="14"/>
      <c r="MIF1153" s="14"/>
      <c r="MIG1153" s="14"/>
      <c r="MIH1153" s="14"/>
      <c r="MII1153" s="14"/>
      <c r="MIJ1153" s="14"/>
      <c r="MIK1153" s="14"/>
      <c r="MIL1153" s="14"/>
      <c r="MIM1153" s="14"/>
      <c r="MIN1153" s="14"/>
      <c r="MIO1153" s="14"/>
      <c r="MIP1153" s="14"/>
      <c r="MIQ1153" s="14"/>
      <c r="MIR1153" s="14"/>
      <c r="MIS1153" s="14"/>
      <c r="MIT1153" s="14"/>
      <c r="MIU1153" s="14"/>
      <c r="MIV1153" s="14"/>
      <c r="MIW1153" s="14"/>
      <c r="MIX1153" s="14"/>
      <c r="MIY1153" s="14"/>
      <c r="MIZ1153" s="14"/>
      <c r="MJA1153" s="14"/>
      <c r="MJB1153" s="14"/>
      <c r="MJC1153" s="14"/>
      <c r="MJD1153" s="14"/>
      <c r="MJE1153" s="14"/>
      <c r="MJF1153" s="14"/>
      <c r="MJG1153" s="14"/>
      <c r="MJH1153" s="14"/>
      <c r="MJI1153" s="14"/>
      <c r="MJJ1153" s="14"/>
      <c r="MJK1153" s="14"/>
      <c r="MJL1153" s="14"/>
      <c r="MJM1153" s="14"/>
      <c r="MJN1153" s="14"/>
      <c r="MJO1153" s="14"/>
      <c r="MJP1153" s="14"/>
      <c r="MJQ1153" s="14"/>
      <c r="MJR1153" s="14"/>
      <c r="MJS1153" s="14"/>
      <c r="MJT1153" s="14"/>
      <c r="MJU1153" s="14"/>
      <c r="MJV1153" s="14"/>
      <c r="MJW1153" s="14"/>
      <c r="MJX1153" s="14"/>
      <c r="MJY1153" s="14"/>
      <c r="MJZ1153" s="14"/>
      <c r="MKA1153" s="14"/>
      <c r="MKB1153" s="14"/>
      <c r="MKC1153" s="14"/>
      <c r="MKD1153" s="14"/>
      <c r="MKE1153" s="14"/>
      <c r="MKF1153" s="14"/>
      <c r="MKG1153" s="14"/>
      <c r="MKH1153" s="14"/>
      <c r="MKI1153" s="14"/>
      <c r="MKJ1153" s="14"/>
      <c r="MKK1153" s="14"/>
      <c r="MKL1153" s="14"/>
      <c r="MKM1153" s="14"/>
      <c r="MKN1153" s="14"/>
      <c r="MKO1153" s="14"/>
      <c r="MKP1153" s="14"/>
      <c r="MKQ1153" s="14"/>
      <c r="MKR1153" s="14"/>
      <c r="MKS1153" s="14"/>
      <c r="MKT1153" s="14"/>
      <c r="MKU1153" s="14"/>
      <c r="MKV1153" s="14"/>
      <c r="MKW1153" s="14"/>
      <c r="MKX1153" s="14"/>
      <c r="MKY1153" s="14"/>
      <c r="MKZ1153" s="14"/>
      <c r="MLA1153" s="14"/>
      <c r="MLB1153" s="14"/>
      <c r="MLC1153" s="14"/>
      <c r="MLD1153" s="14"/>
      <c r="MLE1153" s="14"/>
      <c r="MLF1153" s="14"/>
      <c r="MLG1153" s="14"/>
      <c r="MLH1153" s="14"/>
      <c r="MLI1153" s="14"/>
      <c r="MLJ1153" s="14"/>
      <c r="MLK1153" s="14"/>
      <c r="MLL1153" s="14"/>
      <c r="MLM1153" s="14"/>
      <c r="MLN1153" s="14"/>
      <c r="MLO1153" s="14"/>
      <c r="MLP1153" s="14"/>
      <c r="MLQ1153" s="14"/>
      <c r="MLR1153" s="14"/>
      <c r="MLS1153" s="14"/>
      <c r="MLT1153" s="14"/>
      <c r="MLU1153" s="14"/>
      <c r="MLV1153" s="14"/>
      <c r="MLW1153" s="14"/>
      <c r="MLX1153" s="14"/>
      <c r="MLY1153" s="14"/>
      <c r="MLZ1153" s="14"/>
      <c r="MMA1153" s="14"/>
      <c r="MMB1153" s="14"/>
      <c r="MMC1153" s="14"/>
      <c r="MMD1153" s="14"/>
      <c r="MME1153" s="14"/>
      <c r="MMF1153" s="14"/>
      <c r="MMG1153" s="14"/>
      <c r="MMH1153" s="14"/>
      <c r="MMI1153" s="14"/>
      <c r="MMJ1153" s="14"/>
      <c r="MMK1153" s="14"/>
      <c r="MML1153" s="14"/>
      <c r="MMM1153" s="14"/>
      <c r="MMN1153" s="14"/>
      <c r="MMO1153" s="14"/>
      <c r="MMP1153" s="14"/>
      <c r="MMQ1153" s="14"/>
      <c r="MMR1153" s="14"/>
      <c r="MMS1153" s="14"/>
      <c r="MMT1153" s="14"/>
      <c r="MMU1153" s="14"/>
      <c r="MMV1153" s="14"/>
      <c r="MMW1153" s="14"/>
      <c r="MMX1153" s="14"/>
      <c r="MMY1153" s="14"/>
      <c r="MMZ1153" s="14"/>
      <c r="MNA1153" s="14"/>
      <c r="MNB1153" s="14"/>
      <c r="MNC1153" s="14"/>
      <c r="MND1153" s="14"/>
      <c r="MNE1153" s="14"/>
      <c r="MNF1153" s="14"/>
      <c r="MNG1153" s="14"/>
      <c r="MNH1153" s="14"/>
      <c r="MNI1153" s="14"/>
      <c r="MNJ1153" s="14"/>
      <c r="MNK1153" s="14"/>
      <c r="MNL1153" s="14"/>
      <c r="MNM1153" s="14"/>
      <c r="MNN1153" s="14"/>
      <c r="MNO1153" s="14"/>
      <c r="MNP1153" s="14"/>
      <c r="MNQ1153" s="14"/>
      <c r="MNR1153" s="14"/>
      <c r="MNS1153" s="14"/>
      <c r="MNT1153" s="14"/>
      <c r="MNU1153" s="14"/>
      <c r="MNV1153" s="14"/>
      <c r="MNW1153" s="14"/>
      <c r="MNX1153" s="14"/>
      <c r="MNY1153" s="14"/>
      <c r="MNZ1153" s="14"/>
      <c r="MOA1153" s="14"/>
      <c r="MOB1153" s="14"/>
      <c r="MOC1153" s="14"/>
      <c r="MOD1153" s="14"/>
      <c r="MOE1153" s="14"/>
      <c r="MOF1153" s="14"/>
      <c r="MOG1153" s="14"/>
      <c r="MOH1153" s="14"/>
      <c r="MOI1153" s="14"/>
      <c r="MOJ1153" s="14"/>
      <c r="MOK1153" s="14"/>
      <c r="MOL1153" s="14"/>
      <c r="MOM1153" s="14"/>
      <c r="MON1153" s="14"/>
      <c r="MOO1153" s="14"/>
      <c r="MOP1153" s="14"/>
      <c r="MOQ1153" s="14"/>
      <c r="MOR1153" s="14"/>
      <c r="MOS1153" s="14"/>
      <c r="MOT1153" s="14"/>
      <c r="MOU1153" s="14"/>
      <c r="MOV1153" s="14"/>
      <c r="MOW1153" s="14"/>
      <c r="MOX1153" s="14"/>
      <c r="MOY1153" s="14"/>
      <c r="MOZ1153" s="14"/>
      <c r="MPA1153" s="14"/>
      <c r="MPB1153" s="14"/>
      <c r="MPC1153" s="14"/>
      <c r="MPD1153" s="14"/>
      <c r="MPE1153" s="14"/>
      <c r="MPF1153" s="14"/>
      <c r="MPG1153" s="14"/>
      <c r="MPH1153" s="14"/>
      <c r="MPI1153" s="14"/>
      <c r="MPJ1153" s="14"/>
      <c r="MPK1153" s="14"/>
      <c r="MPL1153" s="14"/>
      <c r="MPM1153" s="14"/>
      <c r="MPN1153" s="14"/>
      <c r="MPO1153" s="14"/>
      <c r="MPP1153" s="14"/>
      <c r="MPQ1153" s="14"/>
      <c r="MPR1153" s="14"/>
      <c r="MPS1153" s="14"/>
      <c r="MPT1153" s="14"/>
      <c r="MPU1153" s="14"/>
      <c r="MPV1153" s="14"/>
      <c r="MPW1153" s="14"/>
      <c r="MPX1153" s="14"/>
      <c r="MPY1153" s="14"/>
      <c r="MPZ1153" s="14"/>
      <c r="MQA1153" s="14"/>
      <c r="MQB1153" s="14"/>
      <c r="MQC1153" s="14"/>
      <c r="MQD1153" s="14"/>
      <c r="MQE1153" s="14"/>
      <c r="MQF1153" s="14"/>
      <c r="MQG1153" s="14"/>
      <c r="MQH1153" s="14"/>
      <c r="MQI1153" s="14"/>
      <c r="MQJ1153" s="14"/>
      <c r="MQK1153" s="14"/>
      <c r="MQL1153" s="14"/>
      <c r="MQM1153" s="14"/>
      <c r="MQN1153" s="14"/>
      <c r="MQO1153" s="14"/>
      <c r="MQP1153" s="14"/>
      <c r="MQQ1153" s="14"/>
      <c r="MQR1153" s="14"/>
      <c r="MQS1153" s="14"/>
      <c r="MQT1153" s="14"/>
      <c r="MQU1153" s="14"/>
      <c r="MQV1153" s="14"/>
      <c r="MQW1153" s="14"/>
      <c r="MQX1153" s="14"/>
      <c r="MQY1153" s="14"/>
      <c r="MQZ1153" s="14"/>
      <c r="MRA1153" s="14"/>
      <c r="MRB1153" s="14"/>
      <c r="MRC1153" s="14"/>
      <c r="MRD1153" s="14"/>
      <c r="MRE1153" s="14"/>
      <c r="MRF1153" s="14"/>
      <c r="MRG1153" s="14"/>
      <c r="MRH1153" s="14"/>
      <c r="MRI1153" s="14"/>
      <c r="MRJ1153" s="14"/>
      <c r="MRK1153" s="14"/>
      <c r="MRL1153" s="14"/>
      <c r="MRM1153" s="14"/>
      <c r="MRN1153" s="14"/>
      <c r="MRO1153" s="14"/>
      <c r="MRP1153" s="14"/>
      <c r="MRQ1153" s="14"/>
      <c r="MRR1153" s="14"/>
      <c r="MRS1153" s="14"/>
      <c r="MRT1153" s="14"/>
      <c r="MRU1153" s="14"/>
      <c r="MRV1153" s="14"/>
      <c r="MRW1153" s="14"/>
      <c r="MRX1153" s="14"/>
      <c r="MRY1153" s="14"/>
      <c r="MRZ1153" s="14"/>
      <c r="MSA1153" s="14"/>
      <c r="MSB1153" s="14"/>
      <c r="MSC1153" s="14"/>
      <c r="MSD1153" s="14"/>
      <c r="MSE1153" s="14"/>
      <c r="MSF1153" s="14"/>
      <c r="MSG1153" s="14"/>
      <c r="MSH1153" s="14"/>
      <c r="MSI1153" s="14"/>
      <c r="MSJ1153" s="14"/>
      <c r="MSK1153" s="14"/>
      <c r="MSL1153" s="14"/>
      <c r="MSM1153" s="14"/>
      <c r="MSN1153" s="14"/>
      <c r="MSO1153" s="14"/>
      <c r="MSP1153" s="14"/>
      <c r="MSQ1153" s="14"/>
      <c r="MSR1153" s="14"/>
      <c r="MSS1153" s="14"/>
      <c r="MST1153" s="14"/>
      <c r="MSU1153" s="14"/>
      <c r="MSV1153" s="14"/>
      <c r="MSW1153" s="14"/>
      <c r="MSX1153" s="14"/>
      <c r="MSY1153" s="14"/>
      <c r="MSZ1153" s="14"/>
      <c r="MTA1153" s="14"/>
      <c r="MTB1153" s="14"/>
      <c r="MTC1153" s="14"/>
      <c r="MTD1153" s="14"/>
      <c r="MTE1153" s="14"/>
      <c r="MTF1153" s="14"/>
      <c r="MTG1153" s="14"/>
      <c r="MTH1153" s="14"/>
      <c r="MTI1153" s="14"/>
      <c r="MTJ1153" s="14"/>
      <c r="MTK1153" s="14"/>
      <c r="MTL1153" s="14"/>
      <c r="MTM1153" s="14"/>
      <c r="MTN1153" s="14"/>
      <c r="MTO1153" s="14"/>
      <c r="MTP1153" s="14"/>
      <c r="MTQ1153" s="14"/>
      <c r="MTR1153" s="14"/>
      <c r="MTS1153" s="14"/>
      <c r="MTT1153" s="14"/>
      <c r="MTU1153" s="14"/>
      <c r="MTV1153" s="14"/>
      <c r="MTW1153" s="14"/>
      <c r="MTX1153" s="14"/>
      <c r="MTY1153" s="14"/>
      <c r="MTZ1153" s="14"/>
      <c r="MUA1153" s="14"/>
      <c r="MUB1153" s="14"/>
      <c r="MUC1153" s="14"/>
      <c r="MUD1153" s="14"/>
      <c r="MUE1153" s="14"/>
      <c r="MUF1153" s="14"/>
      <c r="MUG1153" s="14"/>
      <c r="MUH1153" s="14"/>
      <c r="MUI1153" s="14"/>
      <c r="MUJ1153" s="14"/>
      <c r="MUK1153" s="14"/>
      <c r="MUL1153" s="14"/>
      <c r="MUM1153" s="14"/>
      <c r="MUN1153" s="14"/>
      <c r="MUO1153" s="14"/>
      <c r="MUP1153" s="14"/>
      <c r="MUQ1153" s="14"/>
      <c r="MUR1153" s="14"/>
      <c r="MUS1153" s="14"/>
      <c r="MUT1153" s="14"/>
      <c r="MUU1153" s="14"/>
      <c r="MUV1153" s="14"/>
      <c r="MUW1153" s="14"/>
      <c r="MUX1153" s="14"/>
      <c r="MUY1153" s="14"/>
      <c r="MUZ1153" s="14"/>
      <c r="MVA1153" s="14"/>
      <c r="MVB1153" s="14"/>
      <c r="MVC1153" s="14"/>
      <c r="MVD1153" s="14"/>
      <c r="MVE1153" s="14"/>
      <c r="MVF1153" s="14"/>
      <c r="MVG1153" s="14"/>
      <c r="MVH1153" s="14"/>
      <c r="MVI1153" s="14"/>
      <c r="MVJ1153" s="14"/>
      <c r="MVK1153" s="14"/>
      <c r="MVL1153" s="14"/>
      <c r="MVM1153" s="14"/>
      <c r="MVN1153" s="14"/>
      <c r="MVO1153" s="14"/>
      <c r="MVP1153" s="14"/>
      <c r="MVQ1153" s="14"/>
      <c r="MVR1153" s="14"/>
      <c r="MVS1153" s="14"/>
      <c r="MVT1153" s="14"/>
      <c r="MVU1153" s="14"/>
      <c r="MVV1153" s="14"/>
      <c r="MVW1153" s="14"/>
      <c r="MVX1153" s="14"/>
      <c r="MVY1153" s="14"/>
      <c r="MVZ1153" s="14"/>
      <c r="MWA1153" s="14"/>
      <c r="MWB1153" s="14"/>
      <c r="MWC1153" s="14"/>
      <c r="MWD1153" s="14"/>
      <c r="MWE1153" s="14"/>
      <c r="MWF1153" s="14"/>
      <c r="MWG1153" s="14"/>
      <c r="MWH1153" s="14"/>
      <c r="MWI1153" s="14"/>
      <c r="MWJ1153" s="14"/>
      <c r="MWK1153" s="14"/>
      <c r="MWL1153" s="14"/>
      <c r="MWM1153" s="14"/>
      <c r="MWN1153" s="14"/>
      <c r="MWO1153" s="14"/>
      <c r="MWP1153" s="14"/>
      <c r="MWQ1153" s="14"/>
      <c r="MWR1153" s="14"/>
      <c r="MWS1153" s="14"/>
      <c r="MWT1153" s="14"/>
      <c r="MWU1153" s="14"/>
      <c r="MWV1153" s="14"/>
      <c r="MWW1153" s="14"/>
      <c r="MWX1153" s="14"/>
      <c r="MWY1153" s="14"/>
      <c r="MWZ1153" s="14"/>
      <c r="MXA1153" s="14"/>
      <c r="MXB1153" s="14"/>
      <c r="MXC1153" s="14"/>
      <c r="MXD1153" s="14"/>
      <c r="MXE1153" s="14"/>
      <c r="MXF1153" s="14"/>
      <c r="MXG1153" s="14"/>
      <c r="MXH1153" s="14"/>
      <c r="MXI1153" s="14"/>
      <c r="MXJ1153" s="14"/>
      <c r="MXK1153" s="14"/>
      <c r="MXL1153" s="14"/>
      <c r="MXM1153" s="14"/>
      <c r="MXN1153" s="14"/>
      <c r="MXO1153" s="14"/>
      <c r="MXP1153" s="14"/>
      <c r="MXQ1153" s="14"/>
      <c r="MXR1153" s="14"/>
      <c r="MXS1153" s="14"/>
      <c r="MXT1153" s="14"/>
      <c r="MXU1153" s="14"/>
      <c r="MXV1153" s="14"/>
      <c r="MXW1153" s="14"/>
      <c r="MXX1153" s="14"/>
      <c r="MXY1153" s="14"/>
      <c r="MXZ1153" s="14"/>
      <c r="MYA1153" s="14"/>
      <c r="MYB1153" s="14"/>
      <c r="MYC1153" s="14"/>
      <c r="MYD1153" s="14"/>
      <c r="MYE1153" s="14"/>
      <c r="MYF1153" s="14"/>
      <c r="MYG1153" s="14"/>
      <c r="MYH1153" s="14"/>
      <c r="MYI1153" s="14"/>
      <c r="MYJ1153" s="14"/>
      <c r="MYK1153" s="14"/>
      <c r="MYL1153" s="14"/>
      <c r="MYM1153" s="14"/>
      <c r="MYN1153" s="14"/>
      <c r="MYO1153" s="14"/>
      <c r="MYP1153" s="14"/>
      <c r="MYQ1153" s="14"/>
      <c r="MYR1153" s="14"/>
      <c r="MYS1153" s="14"/>
      <c r="MYT1153" s="14"/>
      <c r="MYU1153" s="14"/>
      <c r="MYV1153" s="14"/>
      <c r="MYW1153" s="14"/>
      <c r="MYX1153" s="14"/>
      <c r="MYY1153" s="14"/>
      <c r="MYZ1153" s="14"/>
      <c r="MZA1153" s="14"/>
      <c r="MZB1153" s="14"/>
      <c r="MZC1153" s="14"/>
      <c r="MZD1153" s="14"/>
      <c r="MZE1153" s="14"/>
      <c r="MZF1153" s="14"/>
      <c r="MZG1153" s="14"/>
      <c r="MZH1153" s="14"/>
      <c r="MZI1153" s="14"/>
      <c r="MZJ1153" s="14"/>
      <c r="MZK1153" s="14"/>
      <c r="MZL1153" s="14"/>
      <c r="MZM1153" s="14"/>
      <c r="MZN1153" s="14"/>
      <c r="MZO1153" s="14"/>
      <c r="MZP1153" s="14"/>
      <c r="MZQ1153" s="14"/>
      <c r="MZR1153" s="14"/>
      <c r="MZS1153" s="14"/>
      <c r="MZT1153" s="14"/>
      <c r="MZU1153" s="14"/>
      <c r="MZV1153" s="14"/>
      <c r="MZW1153" s="14"/>
      <c r="MZX1153" s="14"/>
      <c r="MZY1153" s="14"/>
      <c r="MZZ1153" s="14"/>
      <c r="NAA1153" s="14"/>
      <c r="NAB1153" s="14"/>
      <c r="NAC1153" s="14"/>
      <c r="NAD1153" s="14"/>
      <c r="NAE1153" s="14"/>
      <c r="NAF1153" s="14"/>
      <c r="NAG1153" s="14"/>
      <c r="NAH1153" s="14"/>
      <c r="NAI1153" s="14"/>
      <c r="NAJ1153" s="14"/>
      <c r="NAK1153" s="14"/>
      <c r="NAL1153" s="14"/>
      <c r="NAM1153" s="14"/>
      <c r="NAN1153" s="14"/>
      <c r="NAO1153" s="14"/>
      <c r="NAP1153" s="14"/>
      <c r="NAQ1153" s="14"/>
      <c r="NAR1153" s="14"/>
      <c r="NAS1153" s="14"/>
      <c r="NAT1153" s="14"/>
      <c r="NAU1153" s="14"/>
      <c r="NAV1153" s="14"/>
      <c r="NAW1153" s="14"/>
      <c r="NAX1153" s="14"/>
      <c r="NAY1153" s="14"/>
      <c r="NAZ1153" s="14"/>
      <c r="NBA1153" s="14"/>
      <c r="NBB1153" s="14"/>
      <c r="NBC1153" s="14"/>
      <c r="NBD1153" s="14"/>
      <c r="NBE1153" s="14"/>
      <c r="NBF1153" s="14"/>
      <c r="NBG1153" s="14"/>
      <c r="NBH1153" s="14"/>
      <c r="NBI1153" s="14"/>
      <c r="NBJ1153" s="14"/>
      <c r="NBK1153" s="14"/>
      <c r="NBL1153" s="14"/>
      <c r="NBM1153" s="14"/>
      <c r="NBN1153" s="14"/>
      <c r="NBO1153" s="14"/>
      <c r="NBP1153" s="14"/>
      <c r="NBQ1153" s="14"/>
      <c r="NBR1153" s="14"/>
      <c r="NBS1153" s="14"/>
      <c r="NBT1153" s="14"/>
      <c r="NBU1153" s="14"/>
      <c r="NBV1153" s="14"/>
      <c r="NBW1153" s="14"/>
      <c r="NBX1153" s="14"/>
      <c r="NBY1153" s="14"/>
      <c r="NBZ1153" s="14"/>
      <c r="NCA1153" s="14"/>
      <c r="NCB1153" s="14"/>
      <c r="NCC1153" s="14"/>
      <c r="NCD1153" s="14"/>
      <c r="NCE1153" s="14"/>
      <c r="NCF1153" s="14"/>
      <c r="NCG1153" s="14"/>
      <c r="NCH1153" s="14"/>
      <c r="NCI1153" s="14"/>
      <c r="NCJ1153" s="14"/>
      <c r="NCK1153" s="14"/>
      <c r="NCL1153" s="14"/>
      <c r="NCM1153" s="14"/>
      <c r="NCN1153" s="14"/>
      <c r="NCO1153" s="14"/>
      <c r="NCP1153" s="14"/>
      <c r="NCQ1153" s="14"/>
      <c r="NCR1153" s="14"/>
      <c r="NCS1153" s="14"/>
      <c r="NCT1153" s="14"/>
      <c r="NCU1153" s="14"/>
      <c r="NCV1153" s="14"/>
      <c r="NCW1153" s="14"/>
      <c r="NCX1153" s="14"/>
      <c r="NCY1153" s="14"/>
      <c r="NCZ1153" s="14"/>
      <c r="NDA1153" s="14"/>
      <c r="NDB1153" s="14"/>
      <c r="NDC1153" s="14"/>
      <c r="NDD1153" s="14"/>
      <c r="NDE1153" s="14"/>
      <c r="NDF1153" s="14"/>
      <c r="NDG1153" s="14"/>
      <c r="NDH1153" s="14"/>
      <c r="NDI1153" s="14"/>
      <c r="NDJ1153" s="14"/>
      <c r="NDK1153" s="14"/>
      <c r="NDL1153" s="14"/>
      <c r="NDM1153" s="14"/>
      <c r="NDN1153" s="14"/>
      <c r="NDO1153" s="14"/>
      <c r="NDP1153" s="14"/>
      <c r="NDQ1153" s="14"/>
      <c r="NDR1153" s="14"/>
      <c r="NDS1153" s="14"/>
      <c r="NDT1153" s="14"/>
      <c r="NDU1153" s="14"/>
      <c r="NDV1153" s="14"/>
      <c r="NDW1153" s="14"/>
      <c r="NDX1153" s="14"/>
      <c r="NDY1153" s="14"/>
      <c r="NDZ1153" s="14"/>
      <c r="NEA1153" s="14"/>
      <c r="NEB1153" s="14"/>
      <c r="NEC1153" s="14"/>
      <c r="NED1153" s="14"/>
      <c r="NEE1153" s="14"/>
      <c r="NEF1153" s="14"/>
      <c r="NEG1153" s="14"/>
      <c r="NEH1153" s="14"/>
      <c r="NEI1153" s="14"/>
      <c r="NEJ1153" s="14"/>
      <c r="NEK1153" s="14"/>
      <c r="NEL1153" s="14"/>
      <c r="NEM1153" s="14"/>
      <c r="NEN1153" s="14"/>
      <c r="NEO1153" s="14"/>
      <c r="NEP1153" s="14"/>
      <c r="NEQ1153" s="14"/>
      <c r="NER1153" s="14"/>
      <c r="NES1153" s="14"/>
      <c r="NET1153" s="14"/>
      <c r="NEU1153" s="14"/>
      <c r="NEV1153" s="14"/>
      <c r="NEW1153" s="14"/>
      <c r="NEX1153" s="14"/>
      <c r="NEY1153" s="14"/>
      <c r="NEZ1153" s="14"/>
      <c r="NFA1153" s="14"/>
      <c r="NFB1153" s="14"/>
      <c r="NFC1153" s="14"/>
      <c r="NFD1153" s="14"/>
      <c r="NFE1153" s="14"/>
      <c r="NFF1153" s="14"/>
      <c r="NFG1153" s="14"/>
      <c r="NFH1153" s="14"/>
      <c r="NFI1153" s="14"/>
      <c r="NFJ1153" s="14"/>
      <c r="NFK1153" s="14"/>
      <c r="NFL1153" s="14"/>
      <c r="NFM1153" s="14"/>
      <c r="NFN1153" s="14"/>
      <c r="NFO1153" s="14"/>
      <c r="NFP1153" s="14"/>
      <c r="NFQ1153" s="14"/>
      <c r="NFR1153" s="14"/>
      <c r="NFS1153" s="14"/>
      <c r="NFT1153" s="14"/>
      <c r="NFU1153" s="14"/>
      <c r="NFV1153" s="14"/>
      <c r="NFW1153" s="14"/>
      <c r="NFX1153" s="14"/>
      <c r="NFY1153" s="14"/>
      <c r="NFZ1153" s="14"/>
      <c r="NGA1153" s="14"/>
      <c r="NGB1153" s="14"/>
      <c r="NGC1153" s="14"/>
      <c r="NGD1153" s="14"/>
      <c r="NGE1153" s="14"/>
      <c r="NGF1153" s="14"/>
      <c r="NGG1153" s="14"/>
      <c r="NGH1153" s="14"/>
      <c r="NGI1153" s="14"/>
      <c r="NGJ1153" s="14"/>
      <c r="NGK1153" s="14"/>
      <c r="NGL1153" s="14"/>
      <c r="NGM1153" s="14"/>
      <c r="NGN1153" s="14"/>
      <c r="NGO1153" s="14"/>
      <c r="NGP1153" s="14"/>
      <c r="NGQ1153" s="14"/>
      <c r="NGR1153" s="14"/>
      <c r="NGS1153" s="14"/>
      <c r="NGT1153" s="14"/>
      <c r="NGU1153" s="14"/>
      <c r="NGV1153" s="14"/>
      <c r="NGW1153" s="14"/>
      <c r="NGX1153" s="14"/>
      <c r="NGY1153" s="14"/>
      <c r="NGZ1153" s="14"/>
      <c r="NHA1153" s="14"/>
      <c r="NHB1153" s="14"/>
      <c r="NHC1153" s="14"/>
      <c r="NHD1153" s="14"/>
      <c r="NHE1153" s="14"/>
      <c r="NHF1153" s="14"/>
      <c r="NHG1153" s="14"/>
      <c r="NHH1153" s="14"/>
      <c r="NHI1153" s="14"/>
      <c r="NHJ1153" s="14"/>
      <c r="NHK1153" s="14"/>
      <c r="NHL1153" s="14"/>
      <c r="NHM1153" s="14"/>
      <c r="NHN1153" s="14"/>
      <c r="NHO1153" s="14"/>
      <c r="NHP1153" s="14"/>
      <c r="NHQ1153" s="14"/>
      <c r="NHR1153" s="14"/>
      <c r="NHS1153" s="14"/>
      <c r="NHT1153" s="14"/>
      <c r="NHU1153" s="14"/>
      <c r="NHV1153" s="14"/>
      <c r="NHW1153" s="14"/>
      <c r="NHX1153" s="14"/>
      <c r="NHY1153" s="14"/>
      <c r="NHZ1153" s="14"/>
      <c r="NIA1153" s="14"/>
      <c r="NIB1153" s="14"/>
      <c r="NIC1153" s="14"/>
      <c r="NID1153" s="14"/>
      <c r="NIE1153" s="14"/>
      <c r="NIF1153" s="14"/>
      <c r="NIG1153" s="14"/>
      <c r="NIH1153" s="14"/>
      <c r="NII1153" s="14"/>
      <c r="NIJ1153" s="14"/>
      <c r="NIK1153" s="14"/>
      <c r="NIL1153" s="14"/>
      <c r="NIM1153" s="14"/>
      <c r="NIN1153" s="14"/>
      <c r="NIO1153" s="14"/>
      <c r="NIP1153" s="14"/>
      <c r="NIQ1153" s="14"/>
      <c r="NIR1153" s="14"/>
      <c r="NIS1153" s="14"/>
      <c r="NIT1153" s="14"/>
      <c r="NIU1153" s="14"/>
      <c r="NIV1153" s="14"/>
      <c r="NIW1153" s="14"/>
      <c r="NIX1153" s="14"/>
      <c r="NIY1153" s="14"/>
      <c r="NIZ1153" s="14"/>
      <c r="NJA1153" s="14"/>
      <c r="NJB1153" s="14"/>
      <c r="NJC1153" s="14"/>
      <c r="NJD1153" s="14"/>
      <c r="NJE1153" s="14"/>
      <c r="NJF1153" s="14"/>
      <c r="NJG1153" s="14"/>
      <c r="NJH1153" s="14"/>
      <c r="NJI1153" s="14"/>
      <c r="NJJ1153" s="14"/>
      <c r="NJK1153" s="14"/>
      <c r="NJL1153" s="14"/>
      <c r="NJM1153" s="14"/>
      <c r="NJN1153" s="14"/>
      <c r="NJO1153" s="14"/>
      <c r="NJP1153" s="14"/>
      <c r="NJQ1153" s="14"/>
      <c r="NJR1153" s="14"/>
      <c r="NJS1153" s="14"/>
      <c r="NJT1153" s="14"/>
      <c r="NJU1153" s="14"/>
      <c r="NJV1153" s="14"/>
      <c r="NJW1153" s="14"/>
      <c r="NJX1153" s="14"/>
      <c r="NJY1153" s="14"/>
      <c r="NJZ1153" s="14"/>
      <c r="NKA1153" s="14"/>
      <c r="NKB1153" s="14"/>
      <c r="NKC1153" s="14"/>
      <c r="NKD1153" s="14"/>
      <c r="NKE1153" s="14"/>
      <c r="NKF1153" s="14"/>
      <c r="NKG1153" s="14"/>
      <c r="NKH1153" s="14"/>
      <c r="NKI1153" s="14"/>
      <c r="NKJ1153" s="14"/>
      <c r="NKK1153" s="14"/>
      <c r="NKL1153" s="14"/>
      <c r="NKM1153" s="14"/>
      <c r="NKN1153" s="14"/>
      <c r="NKO1153" s="14"/>
      <c r="NKP1153" s="14"/>
      <c r="NKQ1153" s="14"/>
      <c r="NKR1153" s="14"/>
      <c r="NKS1153" s="14"/>
      <c r="NKT1153" s="14"/>
      <c r="NKU1153" s="14"/>
      <c r="NKV1153" s="14"/>
      <c r="NKW1153" s="14"/>
      <c r="NKX1153" s="14"/>
      <c r="NKY1153" s="14"/>
      <c r="NKZ1153" s="14"/>
      <c r="NLA1153" s="14"/>
      <c r="NLB1153" s="14"/>
      <c r="NLC1153" s="14"/>
      <c r="NLD1153" s="14"/>
      <c r="NLE1153" s="14"/>
      <c r="NLF1153" s="14"/>
      <c r="NLG1153" s="14"/>
      <c r="NLH1153" s="14"/>
      <c r="NLI1153" s="14"/>
      <c r="NLJ1153" s="14"/>
      <c r="NLK1153" s="14"/>
      <c r="NLL1153" s="14"/>
      <c r="NLM1153" s="14"/>
      <c r="NLN1153" s="14"/>
      <c r="NLO1153" s="14"/>
      <c r="NLP1153" s="14"/>
      <c r="NLQ1153" s="14"/>
      <c r="NLR1153" s="14"/>
      <c r="NLS1153" s="14"/>
      <c r="NLT1153" s="14"/>
      <c r="NLU1153" s="14"/>
      <c r="NLV1153" s="14"/>
      <c r="NLW1153" s="14"/>
      <c r="NLX1153" s="14"/>
      <c r="NLY1153" s="14"/>
      <c r="NLZ1153" s="14"/>
      <c r="NMA1153" s="14"/>
      <c r="NMB1153" s="14"/>
      <c r="NMC1153" s="14"/>
      <c r="NMD1153" s="14"/>
      <c r="NME1153" s="14"/>
      <c r="NMF1153" s="14"/>
      <c r="NMG1153" s="14"/>
      <c r="NMH1153" s="14"/>
      <c r="NMI1153" s="14"/>
      <c r="NMJ1153" s="14"/>
      <c r="NMK1153" s="14"/>
      <c r="NML1153" s="14"/>
      <c r="NMM1153" s="14"/>
      <c r="NMN1153" s="14"/>
      <c r="NMO1153" s="14"/>
      <c r="NMP1153" s="14"/>
      <c r="NMQ1153" s="14"/>
      <c r="NMR1153" s="14"/>
      <c r="NMS1153" s="14"/>
      <c r="NMT1153" s="14"/>
      <c r="NMU1153" s="14"/>
      <c r="NMV1153" s="14"/>
      <c r="NMW1153" s="14"/>
      <c r="NMX1153" s="14"/>
      <c r="NMY1153" s="14"/>
      <c r="NMZ1153" s="14"/>
      <c r="NNA1153" s="14"/>
      <c r="NNB1153" s="14"/>
      <c r="NNC1153" s="14"/>
      <c r="NND1153" s="14"/>
      <c r="NNE1153" s="14"/>
      <c r="NNF1153" s="14"/>
      <c r="NNG1153" s="14"/>
      <c r="NNH1153" s="14"/>
      <c r="NNI1153" s="14"/>
      <c r="NNJ1153" s="14"/>
      <c r="NNK1153" s="14"/>
      <c r="NNL1153" s="14"/>
      <c r="NNM1153" s="14"/>
      <c r="NNN1153" s="14"/>
      <c r="NNO1153" s="14"/>
      <c r="NNP1153" s="14"/>
      <c r="NNQ1153" s="14"/>
      <c r="NNR1153" s="14"/>
      <c r="NNS1153" s="14"/>
      <c r="NNT1153" s="14"/>
      <c r="NNU1153" s="14"/>
      <c r="NNV1153" s="14"/>
      <c r="NNW1153" s="14"/>
      <c r="NNX1153" s="14"/>
      <c r="NNY1153" s="14"/>
      <c r="NNZ1153" s="14"/>
      <c r="NOA1153" s="14"/>
      <c r="NOB1153" s="14"/>
      <c r="NOC1153" s="14"/>
      <c r="NOD1153" s="14"/>
      <c r="NOE1153" s="14"/>
      <c r="NOF1153" s="14"/>
      <c r="NOG1153" s="14"/>
      <c r="NOH1153" s="14"/>
      <c r="NOI1153" s="14"/>
      <c r="NOJ1153" s="14"/>
      <c r="NOK1153" s="14"/>
      <c r="NOL1153" s="14"/>
      <c r="NOM1153" s="14"/>
      <c r="NON1153" s="14"/>
      <c r="NOO1153" s="14"/>
      <c r="NOP1153" s="14"/>
      <c r="NOQ1153" s="14"/>
      <c r="NOR1153" s="14"/>
      <c r="NOS1153" s="14"/>
      <c r="NOT1153" s="14"/>
      <c r="NOU1153" s="14"/>
      <c r="NOV1153" s="14"/>
      <c r="NOW1153" s="14"/>
      <c r="NOX1153" s="14"/>
      <c r="NOY1153" s="14"/>
      <c r="NOZ1153" s="14"/>
      <c r="NPA1153" s="14"/>
      <c r="NPB1153" s="14"/>
      <c r="NPC1153" s="14"/>
      <c r="NPD1153" s="14"/>
      <c r="NPE1153" s="14"/>
      <c r="NPF1153" s="14"/>
      <c r="NPG1153" s="14"/>
      <c r="NPH1153" s="14"/>
      <c r="NPI1153" s="14"/>
      <c r="NPJ1153" s="14"/>
      <c r="NPK1153" s="14"/>
      <c r="NPL1153" s="14"/>
      <c r="NPM1153" s="14"/>
      <c r="NPN1153" s="14"/>
      <c r="NPO1153" s="14"/>
      <c r="NPP1153" s="14"/>
      <c r="NPQ1153" s="14"/>
      <c r="NPR1153" s="14"/>
      <c r="NPS1153" s="14"/>
      <c r="NPT1153" s="14"/>
      <c r="NPU1153" s="14"/>
      <c r="NPV1153" s="14"/>
      <c r="NPW1153" s="14"/>
      <c r="NPX1153" s="14"/>
      <c r="NPY1153" s="14"/>
      <c r="NPZ1153" s="14"/>
      <c r="NQA1153" s="14"/>
      <c r="NQB1153" s="14"/>
      <c r="NQC1153" s="14"/>
      <c r="NQD1153" s="14"/>
      <c r="NQE1153" s="14"/>
      <c r="NQF1153" s="14"/>
      <c r="NQG1153" s="14"/>
      <c r="NQH1153" s="14"/>
      <c r="NQI1153" s="14"/>
      <c r="NQJ1153" s="14"/>
      <c r="NQK1153" s="14"/>
      <c r="NQL1153" s="14"/>
      <c r="NQM1153" s="14"/>
      <c r="NQN1153" s="14"/>
      <c r="NQO1153" s="14"/>
      <c r="NQP1153" s="14"/>
      <c r="NQQ1153" s="14"/>
      <c r="NQR1153" s="14"/>
      <c r="NQS1153" s="14"/>
      <c r="NQT1153" s="14"/>
      <c r="NQU1153" s="14"/>
      <c r="NQV1153" s="14"/>
      <c r="NQW1153" s="14"/>
      <c r="NQX1153" s="14"/>
      <c r="NQY1153" s="14"/>
      <c r="NQZ1153" s="14"/>
      <c r="NRA1153" s="14"/>
      <c r="NRB1153" s="14"/>
      <c r="NRC1153" s="14"/>
      <c r="NRD1153" s="14"/>
      <c r="NRE1153" s="14"/>
      <c r="NRF1153" s="14"/>
      <c r="NRG1153" s="14"/>
      <c r="NRH1153" s="14"/>
      <c r="NRI1153" s="14"/>
      <c r="NRJ1153" s="14"/>
      <c r="NRK1153" s="14"/>
      <c r="NRL1153" s="14"/>
      <c r="NRM1153" s="14"/>
      <c r="NRN1153" s="14"/>
      <c r="NRO1153" s="14"/>
      <c r="NRP1153" s="14"/>
      <c r="NRQ1153" s="14"/>
      <c r="NRR1153" s="14"/>
      <c r="NRS1153" s="14"/>
      <c r="NRT1153" s="14"/>
      <c r="NRU1153" s="14"/>
      <c r="NRV1153" s="14"/>
      <c r="NRW1153" s="14"/>
      <c r="NRX1153" s="14"/>
      <c r="NRY1153" s="14"/>
      <c r="NRZ1153" s="14"/>
      <c r="NSA1153" s="14"/>
      <c r="NSB1153" s="14"/>
      <c r="NSC1153" s="14"/>
      <c r="NSD1153" s="14"/>
      <c r="NSE1153" s="14"/>
      <c r="NSF1153" s="14"/>
      <c r="NSG1153" s="14"/>
      <c r="NSH1153" s="14"/>
      <c r="NSI1153" s="14"/>
      <c r="NSJ1153" s="14"/>
      <c r="NSK1153" s="14"/>
      <c r="NSL1153" s="14"/>
      <c r="NSM1153" s="14"/>
      <c r="NSN1153" s="14"/>
      <c r="NSO1153" s="14"/>
      <c r="NSP1153" s="14"/>
      <c r="NSQ1153" s="14"/>
      <c r="NSR1153" s="14"/>
      <c r="NSS1153" s="14"/>
      <c r="NST1153" s="14"/>
      <c r="NSU1153" s="14"/>
      <c r="NSV1153" s="14"/>
      <c r="NSW1153" s="14"/>
      <c r="NSX1153" s="14"/>
      <c r="NSY1153" s="14"/>
      <c r="NSZ1153" s="14"/>
      <c r="NTA1153" s="14"/>
      <c r="NTB1153" s="14"/>
      <c r="NTC1153" s="14"/>
      <c r="NTD1153" s="14"/>
      <c r="NTE1153" s="14"/>
      <c r="NTF1153" s="14"/>
      <c r="NTG1153" s="14"/>
      <c r="NTH1153" s="14"/>
      <c r="NTI1153" s="14"/>
      <c r="NTJ1153" s="14"/>
      <c r="NTK1153" s="14"/>
      <c r="NTL1153" s="14"/>
      <c r="NTM1153" s="14"/>
      <c r="NTN1153" s="14"/>
      <c r="NTO1153" s="14"/>
      <c r="NTP1153" s="14"/>
      <c r="NTQ1153" s="14"/>
      <c r="NTR1153" s="14"/>
      <c r="NTS1153" s="14"/>
      <c r="NTT1153" s="14"/>
      <c r="NTU1153" s="14"/>
      <c r="NTV1153" s="14"/>
      <c r="NTW1153" s="14"/>
      <c r="NTX1153" s="14"/>
      <c r="NTY1153" s="14"/>
      <c r="NTZ1153" s="14"/>
      <c r="NUA1153" s="14"/>
      <c r="NUB1153" s="14"/>
      <c r="NUC1153" s="14"/>
      <c r="NUD1153" s="14"/>
      <c r="NUE1153" s="14"/>
      <c r="NUF1153" s="14"/>
      <c r="NUG1153" s="14"/>
      <c r="NUH1153" s="14"/>
      <c r="NUI1153" s="14"/>
      <c r="NUJ1153" s="14"/>
      <c r="NUK1153" s="14"/>
      <c r="NUL1153" s="14"/>
      <c r="NUM1153" s="14"/>
      <c r="NUN1153" s="14"/>
      <c r="NUO1153" s="14"/>
      <c r="NUP1153" s="14"/>
      <c r="NUQ1153" s="14"/>
      <c r="NUR1153" s="14"/>
      <c r="NUS1153" s="14"/>
      <c r="NUT1153" s="14"/>
      <c r="NUU1153" s="14"/>
      <c r="NUV1153" s="14"/>
      <c r="NUW1153" s="14"/>
      <c r="NUX1153" s="14"/>
      <c r="NUY1153" s="14"/>
      <c r="NUZ1153" s="14"/>
      <c r="NVA1153" s="14"/>
      <c r="NVB1153" s="14"/>
      <c r="NVC1153" s="14"/>
      <c r="NVD1153" s="14"/>
      <c r="NVE1153" s="14"/>
      <c r="NVF1153" s="14"/>
      <c r="NVG1153" s="14"/>
      <c r="NVH1153" s="14"/>
      <c r="NVI1153" s="14"/>
      <c r="NVJ1153" s="14"/>
      <c r="NVK1153" s="14"/>
      <c r="NVL1153" s="14"/>
      <c r="NVM1153" s="14"/>
      <c r="NVN1153" s="14"/>
      <c r="NVO1153" s="14"/>
      <c r="NVP1153" s="14"/>
      <c r="NVQ1153" s="14"/>
      <c r="NVR1153" s="14"/>
      <c r="NVS1153" s="14"/>
      <c r="NVT1153" s="14"/>
      <c r="NVU1153" s="14"/>
      <c r="NVV1153" s="14"/>
      <c r="NVW1153" s="14"/>
      <c r="NVX1153" s="14"/>
      <c r="NVY1153" s="14"/>
      <c r="NVZ1153" s="14"/>
      <c r="NWA1153" s="14"/>
      <c r="NWB1153" s="14"/>
      <c r="NWC1153" s="14"/>
      <c r="NWD1153" s="14"/>
      <c r="NWE1153" s="14"/>
      <c r="NWF1153" s="14"/>
      <c r="NWG1153" s="14"/>
      <c r="NWH1153" s="14"/>
      <c r="NWI1153" s="14"/>
      <c r="NWJ1153" s="14"/>
      <c r="NWK1153" s="14"/>
      <c r="NWL1153" s="14"/>
      <c r="NWM1153" s="14"/>
      <c r="NWN1153" s="14"/>
      <c r="NWO1153" s="14"/>
      <c r="NWP1153" s="14"/>
      <c r="NWQ1153" s="14"/>
      <c r="NWR1153" s="14"/>
      <c r="NWS1153" s="14"/>
      <c r="NWT1153" s="14"/>
      <c r="NWU1153" s="14"/>
      <c r="NWV1153" s="14"/>
      <c r="NWW1153" s="14"/>
      <c r="NWX1153" s="14"/>
      <c r="NWY1153" s="14"/>
      <c r="NWZ1153" s="14"/>
      <c r="NXA1153" s="14"/>
      <c r="NXB1153" s="14"/>
      <c r="NXC1153" s="14"/>
      <c r="NXD1153" s="14"/>
      <c r="NXE1153" s="14"/>
      <c r="NXF1153" s="14"/>
      <c r="NXG1153" s="14"/>
      <c r="NXH1153" s="14"/>
      <c r="NXI1153" s="14"/>
      <c r="NXJ1153" s="14"/>
      <c r="NXK1153" s="14"/>
      <c r="NXL1153" s="14"/>
      <c r="NXM1153" s="14"/>
      <c r="NXN1153" s="14"/>
      <c r="NXO1153" s="14"/>
      <c r="NXP1153" s="14"/>
      <c r="NXQ1153" s="14"/>
      <c r="NXR1153" s="14"/>
      <c r="NXS1153" s="14"/>
      <c r="NXT1153" s="14"/>
      <c r="NXU1153" s="14"/>
      <c r="NXV1153" s="14"/>
      <c r="NXW1153" s="14"/>
      <c r="NXX1153" s="14"/>
      <c r="NXY1153" s="14"/>
      <c r="NXZ1153" s="14"/>
      <c r="NYA1153" s="14"/>
      <c r="NYB1153" s="14"/>
      <c r="NYC1153" s="14"/>
      <c r="NYD1153" s="14"/>
      <c r="NYE1153" s="14"/>
      <c r="NYF1153" s="14"/>
      <c r="NYG1153" s="14"/>
      <c r="NYH1153" s="14"/>
      <c r="NYI1153" s="14"/>
      <c r="NYJ1153" s="14"/>
      <c r="NYK1153" s="14"/>
      <c r="NYL1153" s="14"/>
      <c r="NYM1153" s="14"/>
      <c r="NYN1153" s="14"/>
      <c r="NYO1153" s="14"/>
      <c r="NYP1153" s="14"/>
      <c r="NYQ1153" s="14"/>
      <c r="NYR1153" s="14"/>
      <c r="NYS1153" s="14"/>
      <c r="NYT1153" s="14"/>
      <c r="NYU1153" s="14"/>
      <c r="NYV1153" s="14"/>
      <c r="NYW1153" s="14"/>
      <c r="NYX1153" s="14"/>
      <c r="NYY1153" s="14"/>
      <c r="NYZ1153" s="14"/>
      <c r="NZA1153" s="14"/>
      <c r="NZB1153" s="14"/>
      <c r="NZC1153" s="14"/>
      <c r="NZD1153" s="14"/>
      <c r="NZE1153" s="14"/>
      <c r="NZF1153" s="14"/>
      <c r="NZG1153" s="14"/>
      <c r="NZH1153" s="14"/>
      <c r="NZI1153" s="14"/>
      <c r="NZJ1153" s="14"/>
      <c r="NZK1153" s="14"/>
      <c r="NZL1153" s="14"/>
      <c r="NZM1153" s="14"/>
      <c r="NZN1153" s="14"/>
      <c r="NZO1153" s="14"/>
      <c r="NZP1153" s="14"/>
      <c r="NZQ1153" s="14"/>
      <c r="NZR1153" s="14"/>
      <c r="NZS1153" s="14"/>
      <c r="NZT1153" s="14"/>
      <c r="NZU1153" s="14"/>
      <c r="NZV1153" s="14"/>
      <c r="NZW1153" s="14"/>
      <c r="NZX1153" s="14"/>
      <c r="NZY1153" s="14"/>
      <c r="NZZ1153" s="14"/>
      <c r="OAA1153" s="14"/>
      <c r="OAB1153" s="14"/>
      <c r="OAC1153" s="14"/>
      <c r="OAD1153" s="14"/>
      <c r="OAE1153" s="14"/>
      <c r="OAF1153" s="14"/>
      <c r="OAG1153" s="14"/>
      <c r="OAH1153" s="14"/>
      <c r="OAI1153" s="14"/>
      <c r="OAJ1153" s="14"/>
      <c r="OAK1153" s="14"/>
      <c r="OAL1153" s="14"/>
      <c r="OAM1153" s="14"/>
      <c r="OAN1153" s="14"/>
      <c r="OAO1153" s="14"/>
      <c r="OAP1153" s="14"/>
      <c r="OAQ1153" s="14"/>
      <c r="OAR1153" s="14"/>
      <c r="OAS1153" s="14"/>
      <c r="OAT1153" s="14"/>
      <c r="OAU1153" s="14"/>
      <c r="OAV1153" s="14"/>
      <c r="OAW1153" s="14"/>
      <c r="OAX1153" s="14"/>
      <c r="OAY1153" s="14"/>
      <c r="OAZ1153" s="14"/>
      <c r="OBA1153" s="14"/>
      <c r="OBB1153" s="14"/>
      <c r="OBC1153" s="14"/>
      <c r="OBD1153" s="14"/>
      <c r="OBE1153" s="14"/>
      <c r="OBF1153" s="14"/>
      <c r="OBG1153" s="14"/>
      <c r="OBH1153" s="14"/>
      <c r="OBI1153" s="14"/>
      <c r="OBJ1153" s="14"/>
      <c r="OBK1153" s="14"/>
      <c r="OBL1153" s="14"/>
      <c r="OBM1153" s="14"/>
      <c r="OBN1153" s="14"/>
      <c r="OBO1153" s="14"/>
      <c r="OBP1153" s="14"/>
      <c r="OBQ1153" s="14"/>
      <c r="OBR1153" s="14"/>
      <c r="OBS1153" s="14"/>
      <c r="OBT1153" s="14"/>
      <c r="OBU1153" s="14"/>
      <c r="OBV1153" s="14"/>
      <c r="OBW1153" s="14"/>
      <c r="OBX1153" s="14"/>
      <c r="OBY1153" s="14"/>
      <c r="OBZ1153" s="14"/>
      <c r="OCA1153" s="14"/>
      <c r="OCB1153" s="14"/>
      <c r="OCC1153" s="14"/>
      <c r="OCD1153" s="14"/>
      <c r="OCE1153" s="14"/>
      <c r="OCF1153" s="14"/>
      <c r="OCG1153" s="14"/>
      <c r="OCH1153" s="14"/>
      <c r="OCI1153" s="14"/>
      <c r="OCJ1153" s="14"/>
      <c r="OCK1153" s="14"/>
      <c r="OCL1153" s="14"/>
      <c r="OCM1153" s="14"/>
      <c r="OCN1153" s="14"/>
      <c r="OCO1153" s="14"/>
      <c r="OCP1153" s="14"/>
      <c r="OCQ1153" s="14"/>
      <c r="OCR1153" s="14"/>
      <c r="OCS1153" s="14"/>
      <c r="OCT1153" s="14"/>
      <c r="OCU1153" s="14"/>
      <c r="OCV1153" s="14"/>
      <c r="OCW1153" s="14"/>
      <c r="OCX1153" s="14"/>
      <c r="OCY1153" s="14"/>
      <c r="OCZ1153" s="14"/>
      <c r="ODA1153" s="14"/>
      <c r="ODB1153" s="14"/>
      <c r="ODC1153" s="14"/>
      <c r="ODD1153" s="14"/>
      <c r="ODE1153" s="14"/>
      <c r="ODF1153" s="14"/>
      <c r="ODG1153" s="14"/>
      <c r="ODH1153" s="14"/>
      <c r="ODI1153" s="14"/>
      <c r="ODJ1153" s="14"/>
      <c r="ODK1153" s="14"/>
      <c r="ODL1153" s="14"/>
      <c r="ODM1153" s="14"/>
      <c r="ODN1153" s="14"/>
      <c r="ODO1153" s="14"/>
      <c r="ODP1153" s="14"/>
      <c r="ODQ1153" s="14"/>
      <c r="ODR1153" s="14"/>
      <c r="ODS1153" s="14"/>
      <c r="ODT1153" s="14"/>
      <c r="ODU1153" s="14"/>
      <c r="ODV1153" s="14"/>
      <c r="ODW1153" s="14"/>
      <c r="ODX1153" s="14"/>
      <c r="ODY1153" s="14"/>
      <c r="ODZ1153" s="14"/>
      <c r="OEA1153" s="14"/>
      <c r="OEB1153" s="14"/>
      <c r="OEC1153" s="14"/>
      <c r="OED1153" s="14"/>
      <c r="OEE1153" s="14"/>
      <c r="OEF1153" s="14"/>
      <c r="OEG1153" s="14"/>
      <c r="OEH1153" s="14"/>
      <c r="OEI1153" s="14"/>
      <c r="OEJ1153" s="14"/>
      <c r="OEK1153" s="14"/>
      <c r="OEL1153" s="14"/>
      <c r="OEM1153" s="14"/>
      <c r="OEN1153" s="14"/>
      <c r="OEO1153" s="14"/>
      <c r="OEP1153" s="14"/>
      <c r="OEQ1153" s="14"/>
      <c r="OER1153" s="14"/>
      <c r="OES1153" s="14"/>
      <c r="OET1153" s="14"/>
      <c r="OEU1153" s="14"/>
      <c r="OEV1153" s="14"/>
      <c r="OEW1153" s="14"/>
      <c r="OEX1153" s="14"/>
      <c r="OEY1153" s="14"/>
      <c r="OEZ1153" s="14"/>
      <c r="OFA1153" s="14"/>
      <c r="OFB1153" s="14"/>
      <c r="OFC1153" s="14"/>
      <c r="OFD1153" s="14"/>
      <c r="OFE1153" s="14"/>
      <c r="OFF1153" s="14"/>
      <c r="OFG1153" s="14"/>
      <c r="OFH1153" s="14"/>
      <c r="OFI1153" s="14"/>
      <c r="OFJ1153" s="14"/>
      <c r="OFK1153" s="14"/>
      <c r="OFL1153" s="14"/>
      <c r="OFM1153" s="14"/>
      <c r="OFN1153" s="14"/>
      <c r="OFO1153" s="14"/>
      <c r="OFP1153" s="14"/>
      <c r="OFQ1153" s="14"/>
      <c r="OFR1153" s="14"/>
      <c r="OFS1153" s="14"/>
      <c r="OFT1153" s="14"/>
      <c r="OFU1153" s="14"/>
      <c r="OFV1153" s="14"/>
      <c r="OFW1153" s="14"/>
      <c r="OFX1153" s="14"/>
      <c r="OFY1153" s="14"/>
      <c r="OFZ1153" s="14"/>
      <c r="OGA1153" s="14"/>
      <c r="OGB1153" s="14"/>
      <c r="OGC1153" s="14"/>
      <c r="OGD1153" s="14"/>
      <c r="OGE1153" s="14"/>
      <c r="OGF1153" s="14"/>
      <c r="OGG1153" s="14"/>
      <c r="OGH1153" s="14"/>
      <c r="OGI1153" s="14"/>
      <c r="OGJ1153" s="14"/>
      <c r="OGK1153" s="14"/>
      <c r="OGL1153" s="14"/>
      <c r="OGM1153" s="14"/>
      <c r="OGN1153" s="14"/>
      <c r="OGO1153" s="14"/>
      <c r="OGP1153" s="14"/>
      <c r="OGQ1153" s="14"/>
      <c r="OGR1153" s="14"/>
      <c r="OGS1153" s="14"/>
      <c r="OGT1153" s="14"/>
      <c r="OGU1153" s="14"/>
      <c r="OGV1153" s="14"/>
      <c r="OGW1153" s="14"/>
      <c r="OGX1153" s="14"/>
      <c r="OGY1153" s="14"/>
      <c r="OGZ1153" s="14"/>
      <c r="OHA1153" s="14"/>
      <c r="OHB1153" s="14"/>
      <c r="OHC1153" s="14"/>
      <c r="OHD1153" s="14"/>
      <c r="OHE1153" s="14"/>
      <c r="OHF1153" s="14"/>
      <c r="OHG1153" s="14"/>
      <c r="OHH1153" s="14"/>
      <c r="OHI1153" s="14"/>
      <c r="OHJ1153" s="14"/>
      <c r="OHK1153" s="14"/>
      <c r="OHL1153" s="14"/>
      <c r="OHM1153" s="14"/>
      <c r="OHN1153" s="14"/>
      <c r="OHO1153" s="14"/>
      <c r="OHP1153" s="14"/>
      <c r="OHQ1153" s="14"/>
      <c r="OHR1153" s="14"/>
      <c r="OHS1153" s="14"/>
      <c r="OHT1153" s="14"/>
      <c r="OHU1153" s="14"/>
      <c r="OHV1153" s="14"/>
      <c r="OHW1153" s="14"/>
      <c r="OHX1153" s="14"/>
      <c r="OHY1153" s="14"/>
      <c r="OHZ1153" s="14"/>
      <c r="OIA1153" s="14"/>
      <c r="OIB1153" s="14"/>
      <c r="OIC1153" s="14"/>
      <c r="OID1153" s="14"/>
      <c r="OIE1153" s="14"/>
      <c r="OIF1153" s="14"/>
      <c r="OIG1153" s="14"/>
      <c r="OIH1153" s="14"/>
      <c r="OII1153" s="14"/>
      <c r="OIJ1153" s="14"/>
      <c r="OIK1153" s="14"/>
      <c r="OIL1153" s="14"/>
      <c r="OIM1153" s="14"/>
      <c r="OIN1153" s="14"/>
      <c r="OIO1153" s="14"/>
      <c r="OIP1153" s="14"/>
      <c r="OIQ1153" s="14"/>
      <c r="OIR1153" s="14"/>
      <c r="OIS1153" s="14"/>
      <c r="OIT1153" s="14"/>
      <c r="OIU1153" s="14"/>
      <c r="OIV1153" s="14"/>
      <c r="OIW1153" s="14"/>
      <c r="OIX1153" s="14"/>
      <c r="OIY1153" s="14"/>
      <c r="OIZ1153" s="14"/>
      <c r="OJA1153" s="14"/>
      <c r="OJB1153" s="14"/>
      <c r="OJC1153" s="14"/>
      <c r="OJD1153" s="14"/>
      <c r="OJE1153" s="14"/>
      <c r="OJF1153" s="14"/>
      <c r="OJG1153" s="14"/>
      <c r="OJH1153" s="14"/>
      <c r="OJI1153" s="14"/>
      <c r="OJJ1153" s="14"/>
      <c r="OJK1153" s="14"/>
      <c r="OJL1153" s="14"/>
      <c r="OJM1153" s="14"/>
      <c r="OJN1153" s="14"/>
      <c r="OJO1153" s="14"/>
      <c r="OJP1153" s="14"/>
      <c r="OJQ1153" s="14"/>
      <c r="OJR1153" s="14"/>
      <c r="OJS1153" s="14"/>
      <c r="OJT1153" s="14"/>
      <c r="OJU1153" s="14"/>
      <c r="OJV1153" s="14"/>
      <c r="OJW1153" s="14"/>
      <c r="OJX1153" s="14"/>
      <c r="OJY1153" s="14"/>
      <c r="OJZ1153" s="14"/>
      <c r="OKA1153" s="14"/>
      <c r="OKB1153" s="14"/>
      <c r="OKC1153" s="14"/>
      <c r="OKD1153" s="14"/>
      <c r="OKE1153" s="14"/>
      <c r="OKF1153" s="14"/>
      <c r="OKG1153" s="14"/>
      <c r="OKH1153" s="14"/>
      <c r="OKI1153" s="14"/>
      <c r="OKJ1153" s="14"/>
      <c r="OKK1153" s="14"/>
      <c r="OKL1153" s="14"/>
      <c r="OKM1153" s="14"/>
      <c r="OKN1153" s="14"/>
      <c r="OKO1153" s="14"/>
      <c r="OKP1153" s="14"/>
      <c r="OKQ1153" s="14"/>
      <c r="OKR1153" s="14"/>
      <c r="OKS1153" s="14"/>
      <c r="OKT1153" s="14"/>
      <c r="OKU1153" s="14"/>
      <c r="OKV1153" s="14"/>
      <c r="OKW1153" s="14"/>
      <c r="OKX1153" s="14"/>
      <c r="OKY1153" s="14"/>
      <c r="OKZ1153" s="14"/>
      <c r="OLA1153" s="14"/>
      <c r="OLB1153" s="14"/>
      <c r="OLC1153" s="14"/>
      <c r="OLD1153" s="14"/>
      <c r="OLE1153" s="14"/>
      <c r="OLF1153" s="14"/>
      <c r="OLG1153" s="14"/>
      <c r="OLH1153" s="14"/>
      <c r="OLI1153" s="14"/>
      <c r="OLJ1153" s="14"/>
      <c r="OLK1153" s="14"/>
      <c r="OLL1153" s="14"/>
      <c r="OLM1153" s="14"/>
      <c r="OLN1153" s="14"/>
      <c r="OLO1153" s="14"/>
      <c r="OLP1153" s="14"/>
      <c r="OLQ1153" s="14"/>
      <c r="OLR1153" s="14"/>
      <c r="OLS1153" s="14"/>
      <c r="OLT1153" s="14"/>
      <c r="OLU1153" s="14"/>
      <c r="OLV1153" s="14"/>
      <c r="OLW1153" s="14"/>
      <c r="OLX1153" s="14"/>
      <c r="OLY1153" s="14"/>
      <c r="OLZ1153" s="14"/>
      <c r="OMA1153" s="14"/>
      <c r="OMB1153" s="14"/>
      <c r="OMC1153" s="14"/>
      <c r="OMD1153" s="14"/>
      <c r="OME1153" s="14"/>
      <c r="OMF1153" s="14"/>
      <c r="OMG1153" s="14"/>
      <c r="OMH1153" s="14"/>
      <c r="OMI1153" s="14"/>
      <c r="OMJ1153" s="14"/>
      <c r="OMK1153" s="14"/>
      <c r="OML1153" s="14"/>
      <c r="OMM1153" s="14"/>
      <c r="OMN1153" s="14"/>
      <c r="OMO1153" s="14"/>
      <c r="OMP1153" s="14"/>
      <c r="OMQ1153" s="14"/>
      <c r="OMR1153" s="14"/>
      <c r="OMS1153" s="14"/>
      <c r="OMT1153" s="14"/>
      <c r="OMU1153" s="14"/>
      <c r="OMV1153" s="14"/>
      <c r="OMW1153" s="14"/>
      <c r="OMX1153" s="14"/>
      <c r="OMY1153" s="14"/>
      <c r="OMZ1153" s="14"/>
      <c r="ONA1153" s="14"/>
      <c r="ONB1153" s="14"/>
      <c r="ONC1153" s="14"/>
      <c r="OND1153" s="14"/>
      <c r="ONE1153" s="14"/>
      <c r="ONF1153" s="14"/>
      <c r="ONG1153" s="14"/>
      <c r="ONH1153" s="14"/>
      <c r="ONI1153" s="14"/>
      <c r="ONJ1153" s="14"/>
      <c r="ONK1153" s="14"/>
      <c r="ONL1153" s="14"/>
      <c r="ONM1153" s="14"/>
      <c r="ONN1153" s="14"/>
      <c r="ONO1153" s="14"/>
      <c r="ONP1153" s="14"/>
      <c r="ONQ1153" s="14"/>
      <c r="ONR1153" s="14"/>
      <c r="ONS1153" s="14"/>
      <c r="ONT1153" s="14"/>
      <c r="ONU1153" s="14"/>
      <c r="ONV1153" s="14"/>
      <c r="ONW1153" s="14"/>
      <c r="ONX1153" s="14"/>
      <c r="ONY1153" s="14"/>
      <c r="ONZ1153" s="14"/>
      <c r="OOA1153" s="14"/>
      <c r="OOB1153" s="14"/>
      <c r="OOC1153" s="14"/>
      <c r="OOD1153" s="14"/>
      <c r="OOE1153" s="14"/>
      <c r="OOF1153" s="14"/>
      <c r="OOG1153" s="14"/>
      <c r="OOH1153" s="14"/>
      <c r="OOI1153" s="14"/>
      <c r="OOJ1153" s="14"/>
      <c r="OOK1153" s="14"/>
      <c r="OOL1153" s="14"/>
      <c r="OOM1153" s="14"/>
      <c r="OON1153" s="14"/>
      <c r="OOO1153" s="14"/>
      <c r="OOP1153" s="14"/>
      <c r="OOQ1153" s="14"/>
      <c r="OOR1153" s="14"/>
      <c r="OOS1153" s="14"/>
      <c r="OOT1153" s="14"/>
      <c r="OOU1153" s="14"/>
      <c r="OOV1153" s="14"/>
      <c r="OOW1153" s="14"/>
      <c r="OOX1153" s="14"/>
      <c r="OOY1153" s="14"/>
      <c r="OOZ1153" s="14"/>
      <c r="OPA1153" s="14"/>
      <c r="OPB1153" s="14"/>
      <c r="OPC1153" s="14"/>
      <c r="OPD1153" s="14"/>
      <c r="OPE1153" s="14"/>
      <c r="OPF1153" s="14"/>
      <c r="OPG1153" s="14"/>
      <c r="OPH1153" s="14"/>
      <c r="OPI1153" s="14"/>
      <c r="OPJ1153" s="14"/>
      <c r="OPK1153" s="14"/>
      <c r="OPL1153" s="14"/>
      <c r="OPM1153" s="14"/>
      <c r="OPN1153" s="14"/>
      <c r="OPO1153" s="14"/>
      <c r="OPP1153" s="14"/>
      <c r="OPQ1153" s="14"/>
      <c r="OPR1153" s="14"/>
      <c r="OPS1153" s="14"/>
      <c r="OPT1153" s="14"/>
      <c r="OPU1153" s="14"/>
      <c r="OPV1153" s="14"/>
      <c r="OPW1153" s="14"/>
      <c r="OPX1153" s="14"/>
      <c r="OPY1153" s="14"/>
      <c r="OPZ1153" s="14"/>
      <c r="OQA1153" s="14"/>
      <c r="OQB1153" s="14"/>
      <c r="OQC1153" s="14"/>
      <c r="OQD1153" s="14"/>
      <c r="OQE1153" s="14"/>
      <c r="OQF1153" s="14"/>
      <c r="OQG1153" s="14"/>
      <c r="OQH1153" s="14"/>
      <c r="OQI1153" s="14"/>
      <c r="OQJ1153" s="14"/>
      <c r="OQK1153" s="14"/>
      <c r="OQL1153" s="14"/>
      <c r="OQM1153" s="14"/>
      <c r="OQN1153" s="14"/>
      <c r="OQO1153" s="14"/>
      <c r="OQP1153" s="14"/>
      <c r="OQQ1153" s="14"/>
      <c r="OQR1153" s="14"/>
      <c r="OQS1153" s="14"/>
      <c r="OQT1153" s="14"/>
      <c r="OQU1153" s="14"/>
      <c r="OQV1153" s="14"/>
      <c r="OQW1153" s="14"/>
      <c r="OQX1153" s="14"/>
      <c r="OQY1153" s="14"/>
      <c r="OQZ1153" s="14"/>
      <c r="ORA1153" s="14"/>
      <c r="ORB1153" s="14"/>
      <c r="ORC1153" s="14"/>
      <c r="ORD1153" s="14"/>
      <c r="ORE1153" s="14"/>
      <c r="ORF1153" s="14"/>
      <c r="ORG1153" s="14"/>
      <c r="ORH1153" s="14"/>
      <c r="ORI1153" s="14"/>
      <c r="ORJ1153" s="14"/>
      <c r="ORK1153" s="14"/>
      <c r="ORL1153" s="14"/>
      <c r="ORM1153" s="14"/>
      <c r="ORN1153" s="14"/>
      <c r="ORO1153" s="14"/>
      <c r="ORP1153" s="14"/>
      <c r="ORQ1153" s="14"/>
      <c r="ORR1153" s="14"/>
      <c r="ORS1153" s="14"/>
      <c r="ORT1153" s="14"/>
      <c r="ORU1153" s="14"/>
      <c r="ORV1153" s="14"/>
      <c r="ORW1153" s="14"/>
      <c r="ORX1153" s="14"/>
      <c r="ORY1153" s="14"/>
      <c r="ORZ1153" s="14"/>
      <c r="OSA1153" s="14"/>
      <c r="OSB1153" s="14"/>
      <c r="OSC1153" s="14"/>
      <c r="OSD1153" s="14"/>
      <c r="OSE1153" s="14"/>
      <c r="OSF1153" s="14"/>
      <c r="OSG1153" s="14"/>
      <c r="OSH1153" s="14"/>
      <c r="OSI1153" s="14"/>
      <c r="OSJ1153" s="14"/>
      <c r="OSK1153" s="14"/>
      <c r="OSL1153" s="14"/>
      <c r="OSM1153" s="14"/>
      <c r="OSN1153" s="14"/>
      <c r="OSO1153" s="14"/>
      <c r="OSP1153" s="14"/>
      <c r="OSQ1153" s="14"/>
      <c r="OSR1153" s="14"/>
      <c r="OSS1153" s="14"/>
      <c r="OST1153" s="14"/>
      <c r="OSU1153" s="14"/>
      <c r="OSV1153" s="14"/>
      <c r="OSW1153" s="14"/>
      <c r="OSX1153" s="14"/>
      <c r="OSY1153" s="14"/>
      <c r="OSZ1153" s="14"/>
      <c r="OTA1153" s="14"/>
      <c r="OTB1153" s="14"/>
      <c r="OTC1153" s="14"/>
      <c r="OTD1153" s="14"/>
      <c r="OTE1153" s="14"/>
      <c r="OTF1153" s="14"/>
      <c r="OTG1153" s="14"/>
      <c r="OTH1153" s="14"/>
      <c r="OTI1153" s="14"/>
      <c r="OTJ1153" s="14"/>
      <c r="OTK1153" s="14"/>
      <c r="OTL1153" s="14"/>
      <c r="OTM1153" s="14"/>
      <c r="OTN1153" s="14"/>
      <c r="OTO1153" s="14"/>
      <c r="OTP1153" s="14"/>
      <c r="OTQ1153" s="14"/>
      <c r="OTR1153" s="14"/>
      <c r="OTS1153" s="14"/>
      <c r="OTT1153" s="14"/>
      <c r="OTU1153" s="14"/>
      <c r="OTV1153" s="14"/>
      <c r="OTW1153" s="14"/>
      <c r="OTX1153" s="14"/>
      <c r="OTY1153" s="14"/>
      <c r="OTZ1153" s="14"/>
      <c r="OUA1153" s="14"/>
      <c r="OUB1153" s="14"/>
      <c r="OUC1153" s="14"/>
      <c r="OUD1153" s="14"/>
      <c r="OUE1153" s="14"/>
      <c r="OUF1153" s="14"/>
      <c r="OUG1153" s="14"/>
      <c r="OUH1153" s="14"/>
      <c r="OUI1153" s="14"/>
      <c r="OUJ1153" s="14"/>
      <c r="OUK1153" s="14"/>
      <c r="OUL1153" s="14"/>
      <c r="OUM1153" s="14"/>
      <c r="OUN1153" s="14"/>
      <c r="OUO1153" s="14"/>
      <c r="OUP1153" s="14"/>
      <c r="OUQ1153" s="14"/>
      <c r="OUR1153" s="14"/>
      <c r="OUS1153" s="14"/>
      <c r="OUT1153" s="14"/>
      <c r="OUU1153" s="14"/>
      <c r="OUV1153" s="14"/>
      <c r="OUW1153" s="14"/>
      <c r="OUX1153" s="14"/>
      <c r="OUY1153" s="14"/>
      <c r="OUZ1153" s="14"/>
      <c r="OVA1153" s="14"/>
      <c r="OVB1153" s="14"/>
      <c r="OVC1153" s="14"/>
      <c r="OVD1153" s="14"/>
      <c r="OVE1153" s="14"/>
      <c r="OVF1153" s="14"/>
      <c r="OVG1153" s="14"/>
      <c r="OVH1153" s="14"/>
      <c r="OVI1153" s="14"/>
      <c r="OVJ1153" s="14"/>
      <c r="OVK1153" s="14"/>
      <c r="OVL1153" s="14"/>
      <c r="OVM1153" s="14"/>
      <c r="OVN1153" s="14"/>
      <c r="OVO1153" s="14"/>
      <c r="OVP1153" s="14"/>
      <c r="OVQ1153" s="14"/>
      <c r="OVR1153" s="14"/>
      <c r="OVS1153" s="14"/>
      <c r="OVT1153" s="14"/>
      <c r="OVU1153" s="14"/>
      <c r="OVV1153" s="14"/>
      <c r="OVW1153" s="14"/>
      <c r="OVX1153" s="14"/>
      <c r="OVY1153" s="14"/>
      <c r="OVZ1153" s="14"/>
      <c r="OWA1153" s="14"/>
      <c r="OWB1153" s="14"/>
      <c r="OWC1153" s="14"/>
      <c r="OWD1153" s="14"/>
      <c r="OWE1153" s="14"/>
      <c r="OWF1153" s="14"/>
      <c r="OWG1153" s="14"/>
      <c r="OWH1153" s="14"/>
      <c r="OWI1153" s="14"/>
      <c r="OWJ1153" s="14"/>
      <c r="OWK1153" s="14"/>
      <c r="OWL1153" s="14"/>
      <c r="OWM1153" s="14"/>
      <c r="OWN1153" s="14"/>
      <c r="OWO1153" s="14"/>
      <c r="OWP1153" s="14"/>
      <c r="OWQ1153" s="14"/>
      <c r="OWR1153" s="14"/>
      <c r="OWS1153" s="14"/>
      <c r="OWT1153" s="14"/>
      <c r="OWU1153" s="14"/>
      <c r="OWV1153" s="14"/>
      <c r="OWW1153" s="14"/>
      <c r="OWX1153" s="14"/>
      <c r="OWY1153" s="14"/>
      <c r="OWZ1153" s="14"/>
      <c r="OXA1153" s="14"/>
      <c r="OXB1153" s="14"/>
      <c r="OXC1153" s="14"/>
      <c r="OXD1153" s="14"/>
      <c r="OXE1153" s="14"/>
      <c r="OXF1153" s="14"/>
      <c r="OXG1153" s="14"/>
      <c r="OXH1153" s="14"/>
      <c r="OXI1153" s="14"/>
      <c r="OXJ1153" s="14"/>
      <c r="OXK1153" s="14"/>
      <c r="OXL1153" s="14"/>
      <c r="OXM1153" s="14"/>
      <c r="OXN1153" s="14"/>
      <c r="OXO1153" s="14"/>
      <c r="OXP1153" s="14"/>
      <c r="OXQ1153" s="14"/>
      <c r="OXR1153" s="14"/>
      <c r="OXS1153" s="14"/>
      <c r="OXT1153" s="14"/>
      <c r="OXU1153" s="14"/>
      <c r="OXV1153" s="14"/>
      <c r="OXW1153" s="14"/>
      <c r="OXX1153" s="14"/>
      <c r="OXY1153" s="14"/>
      <c r="OXZ1153" s="14"/>
      <c r="OYA1153" s="14"/>
      <c r="OYB1153" s="14"/>
      <c r="OYC1153" s="14"/>
      <c r="OYD1153" s="14"/>
      <c r="OYE1153" s="14"/>
      <c r="OYF1153" s="14"/>
      <c r="OYG1153" s="14"/>
      <c r="OYH1153" s="14"/>
      <c r="OYI1153" s="14"/>
      <c r="OYJ1153" s="14"/>
      <c r="OYK1153" s="14"/>
      <c r="OYL1153" s="14"/>
      <c r="OYM1153" s="14"/>
      <c r="OYN1153" s="14"/>
      <c r="OYO1153" s="14"/>
      <c r="OYP1153" s="14"/>
      <c r="OYQ1153" s="14"/>
      <c r="OYR1153" s="14"/>
      <c r="OYS1153" s="14"/>
      <c r="OYT1153" s="14"/>
      <c r="OYU1153" s="14"/>
      <c r="OYV1153" s="14"/>
      <c r="OYW1153" s="14"/>
      <c r="OYX1153" s="14"/>
      <c r="OYY1153" s="14"/>
      <c r="OYZ1153" s="14"/>
      <c r="OZA1153" s="14"/>
      <c r="OZB1153" s="14"/>
      <c r="OZC1153" s="14"/>
      <c r="OZD1153" s="14"/>
      <c r="OZE1153" s="14"/>
      <c r="OZF1153" s="14"/>
      <c r="OZG1153" s="14"/>
      <c r="OZH1153" s="14"/>
      <c r="OZI1153" s="14"/>
      <c r="OZJ1153" s="14"/>
      <c r="OZK1153" s="14"/>
      <c r="OZL1153" s="14"/>
      <c r="OZM1153" s="14"/>
      <c r="OZN1153" s="14"/>
      <c r="OZO1153" s="14"/>
      <c r="OZP1153" s="14"/>
      <c r="OZQ1153" s="14"/>
      <c r="OZR1153" s="14"/>
      <c r="OZS1153" s="14"/>
      <c r="OZT1153" s="14"/>
      <c r="OZU1153" s="14"/>
      <c r="OZV1153" s="14"/>
      <c r="OZW1153" s="14"/>
      <c r="OZX1153" s="14"/>
      <c r="OZY1153" s="14"/>
      <c r="OZZ1153" s="14"/>
      <c r="PAA1153" s="14"/>
      <c r="PAB1153" s="14"/>
      <c r="PAC1153" s="14"/>
      <c r="PAD1153" s="14"/>
      <c r="PAE1153" s="14"/>
      <c r="PAF1153" s="14"/>
      <c r="PAG1153" s="14"/>
      <c r="PAH1153" s="14"/>
      <c r="PAI1153" s="14"/>
      <c r="PAJ1153" s="14"/>
      <c r="PAK1153" s="14"/>
      <c r="PAL1153" s="14"/>
      <c r="PAM1153" s="14"/>
      <c r="PAN1153" s="14"/>
      <c r="PAO1153" s="14"/>
      <c r="PAP1153" s="14"/>
      <c r="PAQ1153" s="14"/>
      <c r="PAR1153" s="14"/>
      <c r="PAS1153" s="14"/>
      <c r="PAT1153" s="14"/>
      <c r="PAU1153" s="14"/>
      <c r="PAV1153" s="14"/>
      <c r="PAW1153" s="14"/>
      <c r="PAX1153" s="14"/>
      <c r="PAY1153" s="14"/>
      <c r="PAZ1153" s="14"/>
      <c r="PBA1153" s="14"/>
      <c r="PBB1153" s="14"/>
      <c r="PBC1153" s="14"/>
      <c r="PBD1153" s="14"/>
      <c r="PBE1153" s="14"/>
      <c r="PBF1153" s="14"/>
      <c r="PBG1153" s="14"/>
      <c r="PBH1153" s="14"/>
      <c r="PBI1153" s="14"/>
      <c r="PBJ1153" s="14"/>
      <c r="PBK1153" s="14"/>
      <c r="PBL1153" s="14"/>
      <c r="PBM1153" s="14"/>
      <c r="PBN1153" s="14"/>
      <c r="PBO1153" s="14"/>
      <c r="PBP1153" s="14"/>
      <c r="PBQ1153" s="14"/>
      <c r="PBR1153" s="14"/>
      <c r="PBS1153" s="14"/>
      <c r="PBT1153" s="14"/>
      <c r="PBU1153" s="14"/>
      <c r="PBV1153" s="14"/>
      <c r="PBW1153" s="14"/>
      <c r="PBX1153" s="14"/>
      <c r="PBY1153" s="14"/>
      <c r="PBZ1153" s="14"/>
      <c r="PCA1153" s="14"/>
      <c r="PCB1153" s="14"/>
      <c r="PCC1153" s="14"/>
      <c r="PCD1153" s="14"/>
      <c r="PCE1153" s="14"/>
      <c r="PCF1153" s="14"/>
      <c r="PCG1153" s="14"/>
      <c r="PCH1153" s="14"/>
      <c r="PCI1153" s="14"/>
      <c r="PCJ1153" s="14"/>
      <c r="PCK1153" s="14"/>
      <c r="PCL1153" s="14"/>
      <c r="PCM1153" s="14"/>
      <c r="PCN1153" s="14"/>
      <c r="PCO1153" s="14"/>
      <c r="PCP1153" s="14"/>
      <c r="PCQ1153" s="14"/>
      <c r="PCR1153" s="14"/>
      <c r="PCS1153" s="14"/>
      <c r="PCT1153" s="14"/>
      <c r="PCU1153" s="14"/>
      <c r="PCV1153" s="14"/>
      <c r="PCW1153" s="14"/>
      <c r="PCX1153" s="14"/>
      <c r="PCY1153" s="14"/>
      <c r="PCZ1153" s="14"/>
      <c r="PDA1153" s="14"/>
      <c r="PDB1153" s="14"/>
      <c r="PDC1153" s="14"/>
      <c r="PDD1153" s="14"/>
      <c r="PDE1153" s="14"/>
      <c r="PDF1153" s="14"/>
      <c r="PDG1153" s="14"/>
      <c r="PDH1153" s="14"/>
      <c r="PDI1153" s="14"/>
      <c r="PDJ1153" s="14"/>
      <c r="PDK1153" s="14"/>
      <c r="PDL1153" s="14"/>
      <c r="PDM1153" s="14"/>
      <c r="PDN1153" s="14"/>
      <c r="PDO1153" s="14"/>
      <c r="PDP1153" s="14"/>
      <c r="PDQ1153" s="14"/>
      <c r="PDR1153" s="14"/>
      <c r="PDS1153" s="14"/>
      <c r="PDT1153" s="14"/>
      <c r="PDU1153" s="14"/>
      <c r="PDV1153" s="14"/>
      <c r="PDW1153" s="14"/>
      <c r="PDX1153" s="14"/>
      <c r="PDY1153" s="14"/>
      <c r="PDZ1153" s="14"/>
      <c r="PEA1153" s="14"/>
      <c r="PEB1153" s="14"/>
      <c r="PEC1153" s="14"/>
      <c r="PED1153" s="14"/>
      <c r="PEE1153" s="14"/>
      <c r="PEF1153" s="14"/>
      <c r="PEG1153" s="14"/>
      <c r="PEH1153" s="14"/>
      <c r="PEI1153" s="14"/>
      <c r="PEJ1153" s="14"/>
      <c r="PEK1153" s="14"/>
      <c r="PEL1153" s="14"/>
      <c r="PEM1153" s="14"/>
      <c r="PEN1153" s="14"/>
      <c r="PEO1153" s="14"/>
      <c r="PEP1153" s="14"/>
      <c r="PEQ1153" s="14"/>
      <c r="PER1153" s="14"/>
      <c r="PES1153" s="14"/>
      <c r="PET1153" s="14"/>
      <c r="PEU1153" s="14"/>
      <c r="PEV1153" s="14"/>
      <c r="PEW1153" s="14"/>
      <c r="PEX1153" s="14"/>
      <c r="PEY1153" s="14"/>
      <c r="PEZ1153" s="14"/>
      <c r="PFA1153" s="14"/>
      <c r="PFB1153" s="14"/>
      <c r="PFC1153" s="14"/>
      <c r="PFD1153" s="14"/>
      <c r="PFE1153" s="14"/>
      <c r="PFF1153" s="14"/>
      <c r="PFG1153" s="14"/>
      <c r="PFH1153" s="14"/>
      <c r="PFI1153" s="14"/>
      <c r="PFJ1153" s="14"/>
      <c r="PFK1153" s="14"/>
      <c r="PFL1153" s="14"/>
      <c r="PFM1153" s="14"/>
      <c r="PFN1153" s="14"/>
      <c r="PFO1153" s="14"/>
      <c r="PFP1153" s="14"/>
      <c r="PFQ1153" s="14"/>
      <c r="PFR1153" s="14"/>
      <c r="PFS1153" s="14"/>
      <c r="PFT1153" s="14"/>
      <c r="PFU1153" s="14"/>
      <c r="PFV1153" s="14"/>
      <c r="PFW1153" s="14"/>
      <c r="PFX1153" s="14"/>
      <c r="PFY1153" s="14"/>
      <c r="PFZ1153" s="14"/>
      <c r="PGA1153" s="14"/>
      <c r="PGB1153" s="14"/>
      <c r="PGC1153" s="14"/>
      <c r="PGD1153" s="14"/>
      <c r="PGE1153" s="14"/>
      <c r="PGF1153" s="14"/>
      <c r="PGG1153" s="14"/>
      <c r="PGH1153" s="14"/>
      <c r="PGI1153" s="14"/>
      <c r="PGJ1153" s="14"/>
      <c r="PGK1153" s="14"/>
      <c r="PGL1153" s="14"/>
      <c r="PGM1153" s="14"/>
      <c r="PGN1153" s="14"/>
      <c r="PGO1153" s="14"/>
      <c r="PGP1153" s="14"/>
      <c r="PGQ1153" s="14"/>
      <c r="PGR1153" s="14"/>
      <c r="PGS1153" s="14"/>
      <c r="PGT1153" s="14"/>
      <c r="PGU1153" s="14"/>
      <c r="PGV1153" s="14"/>
      <c r="PGW1153" s="14"/>
      <c r="PGX1153" s="14"/>
      <c r="PGY1153" s="14"/>
      <c r="PGZ1153" s="14"/>
      <c r="PHA1153" s="14"/>
      <c r="PHB1153" s="14"/>
      <c r="PHC1153" s="14"/>
      <c r="PHD1153" s="14"/>
      <c r="PHE1153" s="14"/>
      <c r="PHF1153" s="14"/>
      <c r="PHG1153" s="14"/>
      <c r="PHH1153" s="14"/>
      <c r="PHI1153" s="14"/>
      <c r="PHJ1153" s="14"/>
      <c r="PHK1153" s="14"/>
      <c r="PHL1153" s="14"/>
      <c r="PHM1153" s="14"/>
      <c r="PHN1153" s="14"/>
      <c r="PHO1153" s="14"/>
      <c r="PHP1153" s="14"/>
      <c r="PHQ1153" s="14"/>
      <c r="PHR1153" s="14"/>
      <c r="PHS1153" s="14"/>
      <c r="PHT1153" s="14"/>
      <c r="PHU1153" s="14"/>
      <c r="PHV1153" s="14"/>
      <c r="PHW1153" s="14"/>
      <c r="PHX1153" s="14"/>
      <c r="PHY1153" s="14"/>
      <c r="PHZ1153" s="14"/>
      <c r="PIA1153" s="14"/>
      <c r="PIB1153" s="14"/>
      <c r="PIC1153" s="14"/>
      <c r="PID1153" s="14"/>
      <c r="PIE1153" s="14"/>
      <c r="PIF1153" s="14"/>
      <c r="PIG1153" s="14"/>
      <c r="PIH1153" s="14"/>
      <c r="PII1153" s="14"/>
      <c r="PIJ1153" s="14"/>
      <c r="PIK1153" s="14"/>
      <c r="PIL1153" s="14"/>
      <c r="PIM1153" s="14"/>
      <c r="PIN1153" s="14"/>
      <c r="PIO1153" s="14"/>
      <c r="PIP1153" s="14"/>
      <c r="PIQ1153" s="14"/>
      <c r="PIR1153" s="14"/>
      <c r="PIS1153" s="14"/>
      <c r="PIT1153" s="14"/>
      <c r="PIU1153" s="14"/>
      <c r="PIV1153" s="14"/>
      <c r="PIW1153" s="14"/>
      <c r="PIX1153" s="14"/>
      <c r="PIY1153" s="14"/>
      <c r="PIZ1153" s="14"/>
      <c r="PJA1153" s="14"/>
      <c r="PJB1153" s="14"/>
      <c r="PJC1153" s="14"/>
      <c r="PJD1153" s="14"/>
      <c r="PJE1153" s="14"/>
      <c r="PJF1153" s="14"/>
      <c r="PJG1153" s="14"/>
      <c r="PJH1153" s="14"/>
      <c r="PJI1153" s="14"/>
      <c r="PJJ1153" s="14"/>
      <c r="PJK1153" s="14"/>
      <c r="PJL1153" s="14"/>
      <c r="PJM1153" s="14"/>
      <c r="PJN1153" s="14"/>
      <c r="PJO1153" s="14"/>
      <c r="PJP1153" s="14"/>
      <c r="PJQ1153" s="14"/>
      <c r="PJR1153" s="14"/>
      <c r="PJS1153" s="14"/>
      <c r="PJT1153" s="14"/>
      <c r="PJU1153" s="14"/>
      <c r="PJV1153" s="14"/>
      <c r="PJW1153" s="14"/>
      <c r="PJX1153" s="14"/>
      <c r="PJY1153" s="14"/>
      <c r="PJZ1153" s="14"/>
      <c r="PKA1153" s="14"/>
      <c r="PKB1153" s="14"/>
      <c r="PKC1153" s="14"/>
      <c r="PKD1153" s="14"/>
      <c r="PKE1153" s="14"/>
      <c r="PKF1153" s="14"/>
      <c r="PKG1153" s="14"/>
      <c r="PKH1153" s="14"/>
      <c r="PKI1153" s="14"/>
      <c r="PKJ1153" s="14"/>
      <c r="PKK1153" s="14"/>
      <c r="PKL1153" s="14"/>
      <c r="PKM1153" s="14"/>
      <c r="PKN1153" s="14"/>
      <c r="PKO1153" s="14"/>
      <c r="PKP1153" s="14"/>
      <c r="PKQ1153" s="14"/>
      <c r="PKR1153" s="14"/>
      <c r="PKS1153" s="14"/>
      <c r="PKT1153" s="14"/>
      <c r="PKU1153" s="14"/>
      <c r="PKV1153" s="14"/>
      <c r="PKW1153" s="14"/>
      <c r="PKX1153" s="14"/>
      <c r="PKY1153" s="14"/>
      <c r="PKZ1153" s="14"/>
      <c r="PLA1153" s="14"/>
      <c r="PLB1153" s="14"/>
      <c r="PLC1153" s="14"/>
      <c r="PLD1153" s="14"/>
      <c r="PLE1153" s="14"/>
      <c r="PLF1153" s="14"/>
      <c r="PLG1153" s="14"/>
      <c r="PLH1153" s="14"/>
      <c r="PLI1153" s="14"/>
      <c r="PLJ1153" s="14"/>
      <c r="PLK1153" s="14"/>
      <c r="PLL1153" s="14"/>
      <c r="PLM1153" s="14"/>
      <c r="PLN1153" s="14"/>
      <c r="PLO1153" s="14"/>
      <c r="PLP1153" s="14"/>
      <c r="PLQ1153" s="14"/>
      <c r="PLR1153" s="14"/>
      <c r="PLS1153" s="14"/>
      <c r="PLT1153" s="14"/>
      <c r="PLU1153" s="14"/>
      <c r="PLV1153" s="14"/>
      <c r="PLW1153" s="14"/>
      <c r="PLX1153" s="14"/>
      <c r="PLY1153" s="14"/>
      <c r="PLZ1153" s="14"/>
      <c r="PMA1153" s="14"/>
      <c r="PMB1153" s="14"/>
      <c r="PMC1153" s="14"/>
      <c r="PMD1153" s="14"/>
      <c r="PME1153" s="14"/>
      <c r="PMF1153" s="14"/>
      <c r="PMG1153" s="14"/>
      <c r="PMH1153" s="14"/>
      <c r="PMI1153" s="14"/>
      <c r="PMJ1153" s="14"/>
      <c r="PMK1153" s="14"/>
      <c r="PML1153" s="14"/>
      <c r="PMM1153" s="14"/>
      <c r="PMN1153" s="14"/>
      <c r="PMO1153" s="14"/>
      <c r="PMP1153" s="14"/>
      <c r="PMQ1153" s="14"/>
      <c r="PMR1153" s="14"/>
      <c r="PMS1153" s="14"/>
      <c r="PMT1153" s="14"/>
      <c r="PMU1153" s="14"/>
      <c r="PMV1153" s="14"/>
      <c r="PMW1153" s="14"/>
      <c r="PMX1153" s="14"/>
      <c r="PMY1153" s="14"/>
      <c r="PMZ1153" s="14"/>
      <c r="PNA1153" s="14"/>
      <c r="PNB1153" s="14"/>
      <c r="PNC1153" s="14"/>
      <c r="PND1153" s="14"/>
      <c r="PNE1153" s="14"/>
      <c r="PNF1153" s="14"/>
      <c r="PNG1153" s="14"/>
      <c r="PNH1153" s="14"/>
      <c r="PNI1153" s="14"/>
      <c r="PNJ1153" s="14"/>
      <c r="PNK1153" s="14"/>
      <c r="PNL1153" s="14"/>
      <c r="PNM1153" s="14"/>
      <c r="PNN1153" s="14"/>
      <c r="PNO1153" s="14"/>
      <c r="PNP1153" s="14"/>
      <c r="PNQ1153" s="14"/>
      <c r="PNR1153" s="14"/>
      <c r="PNS1153" s="14"/>
      <c r="PNT1153" s="14"/>
      <c r="PNU1153" s="14"/>
      <c r="PNV1153" s="14"/>
      <c r="PNW1153" s="14"/>
      <c r="PNX1153" s="14"/>
      <c r="PNY1153" s="14"/>
      <c r="PNZ1153" s="14"/>
      <c r="POA1153" s="14"/>
      <c r="POB1153" s="14"/>
      <c r="POC1153" s="14"/>
      <c r="POD1153" s="14"/>
      <c r="POE1153" s="14"/>
      <c r="POF1153" s="14"/>
      <c r="POG1153" s="14"/>
      <c r="POH1153" s="14"/>
      <c r="POI1153" s="14"/>
      <c r="POJ1153" s="14"/>
      <c r="POK1153" s="14"/>
      <c r="POL1153" s="14"/>
      <c r="POM1153" s="14"/>
      <c r="PON1153" s="14"/>
      <c r="POO1153" s="14"/>
      <c r="POP1153" s="14"/>
      <c r="POQ1153" s="14"/>
      <c r="POR1153" s="14"/>
      <c r="POS1153" s="14"/>
      <c r="POT1153" s="14"/>
      <c r="POU1153" s="14"/>
      <c r="POV1153" s="14"/>
      <c r="POW1153" s="14"/>
      <c r="POX1153" s="14"/>
      <c r="POY1153" s="14"/>
      <c r="POZ1153" s="14"/>
      <c r="PPA1153" s="14"/>
      <c r="PPB1153" s="14"/>
      <c r="PPC1153" s="14"/>
      <c r="PPD1153" s="14"/>
      <c r="PPE1153" s="14"/>
      <c r="PPF1153" s="14"/>
      <c r="PPG1153" s="14"/>
      <c r="PPH1153" s="14"/>
      <c r="PPI1153" s="14"/>
      <c r="PPJ1153" s="14"/>
      <c r="PPK1153" s="14"/>
      <c r="PPL1153" s="14"/>
      <c r="PPM1153" s="14"/>
      <c r="PPN1153" s="14"/>
      <c r="PPO1153" s="14"/>
      <c r="PPP1153" s="14"/>
      <c r="PPQ1153" s="14"/>
      <c r="PPR1153" s="14"/>
      <c r="PPS1153" s="14"/>
      <c r="PPT1153" s="14"/>
      <c r="PPU1153" s="14"/>
      <c r="PPV1153" s="14"/>
      <c r="PPW1153" s="14"/>
      <c r="PPX1153" s="14"/>
      <c r="PPY1153" s="14"/>
      <c r="PPZ1153" s="14"/>
      <c r="PQA1153" s="14"/>
      <c r="PQB1153" s="14"/>
      <c r="PQC1153" s="14"/>
      <c r="PQD1153" s="14"/>
      <c r="PQE1153" s="14"/>
      <c r="PQF1153" s="14"/>
      <c r="PQG1153" s="14"/>
      <c r="PQH1153" s="14"/>
      <c r="PQI1153" s="14"/>
      <c r="PQJ1153" s="14"/>
      <c r="PQK1153" s="14"/>
      <c r="PQL1153" s="14"/>
      <c r="PQM1153" s="14"/>
      <c r="PQN1153" s="14"/>
      <c r="PQO1153" s="14"/>
      <c r="PQP1153" s="14"/>
      <c r="PQQ1153" s="14"/>
      <c r="PQR1153" s="14"/>
      <c r="PQS1153" s="14"/>
      <c r="PQT1153" s="14"/>
      <c r="PQU1153" s="14"/>
      <c r="PQV1153" s="14"/>
      <c r="PQW1153" s="14"/>
      <c r="PQX1153" s="14"/>
      <c r="PQY1153" s="14"/>
      <c r="PQZ1153" s="14"/>
      <c r="PRA1153" s="14"/>
      <c r="PRB1153" s="14"/>
      <c r="PRC1153" s="14"/>
      <c r="PRD1153" s="14"/>
      <c r="PRE1153" s="14"/>
      <c r="PRF1153" s="14"/>
      <c r="PRG1153" s="14"/>
      <c r="PRH1153" s="14"/>
      <c r="PRI1153" s="14"/>
      <c r="PRJ1153" s="14"/>
      <c r="PRK1153" s="14"/>
      <c r="PRL1153" s="14"/>
      <c r="PRM1153" s="14"/>
      <c r="PRN1153" s="14"/>
      <c r="PRO1153" s="14"/>
      <c r="PRP1153" s="14"/>
      <c r="PRQ1153" s="14"/>
      <c r="PRR1153" s="14"/>
      <c r="PRS1153" s="14"/>
      <c r="PRT1153" s="14"/>
      <c r="PRU1153" s="14"/>
      <c r="PRV1153" s="14"/>
      <c r="PRW1153" s="14"/>
      <c r="PRX1153" s="14"/>
      <c r="PRY1153" s="14"/>
      <c r="PRZ1153" s="14"/>
      <c r="PSA1153" s="14"/>
      <c r="PSB1153" s="14"/>
      <c r="PSC1153" s="14"/>
      <c r="PSD1153" s="14"/>
      <c r="PSE1153" s="14"/>
      <c r="PSF1153" s="14"/>
      <c r="PSG1153" s="14"/>
      <c r="PSH1153" s="14"/>
      <c r="PSI1153" s="14"/>
      <c r="PSJ1153" s="14"/>
      <c r="PSK1153" s="14"/>
      <c r="PSL1153" s="14"/>
      <c r="PSM1153" s="14"/>
      <c r="PSN1153" s="14"/>
      <c r="PSO1153" s="14"/>
      <c r="PSP1153" s="14"/>
      <c r="PSQ1153" s="14"/>
      <c r="PSR1153" s="14"/>
      <c r="PSS1153" s="14"/>
      <c r="PST1153" s="14"/>
      <c r="PSU1153" s="14"/>
      <c r="PSV1153" s="14"/>
      <c r="PSW1153" s="14"/>
      <c r="PSX1153" s="14"/>
      <c r="PSY1153" s="14"/>
      <c r="PSZ1153" s="14"/>
      <c r="PTA1153" s="14"/>
      <c r="PTB1153" s="14"/>
      <c r="PTC1153" s="14"/>
      <c r="PTD1153" s="14"/>
      <c r="PTE1153" s="14"/>
      <c r="PTF1153" s="14"/>
      <c r="PTG1153" s="14"/>
      <c r="PTH1153" s="14"/>
      <c r="PTI1153" s="14"/>
      <c r="PTJ1153" s="14"/>
      <c r="PTK1153" s="14"/>
      <c r="PTL1153" s="14"/>
      <c r="PTM1153" s="14"/>
      <c r="PTN1153" s="14"/>
      <c r="PTO1153" s="14"/>
      <c r="PTP1153" s="14"/>
      <c r="PTQ1153" s="14"/>
      <c r="PTR1153" s="14"/>
      <c r="PTS1153" s="14"/>
      <c r="PTT1153" s="14"/>
      <c r="PTU1153" s="14"/>
      <c r="PTV1153" s="14"/>
      <c r="PTW1153" s="14"/>
      <c r="PTX1153" s="14"/>
      <c r="PTY1153" s="14"/>
      <c r="PTZ1153" s="14"/>
      <c r="PUA1153" s="14"/>
      <c r="PUB1153" s="14"/>
      <c r="PUC1153" s="14"/>
      <c r="PUD1153" s="14"/>
      <c r="PUE1153" s="14"/>
      <c r="PUF1153" s="14"/>
      <c r="PUG1153" s="14"/>
      <c r="PUH1153" s="14"/>
      <c r="PUI1153" s="14"/>
      <c r="PUJ1153" s="14"/>
      <c r="PUK1153" s="14"/>
      <c r="PUL1153" s="14"/>
      <c r="PUM1153" s="14"/>
      <c r="PUN1153" s="14"/>
      <c r="PUO1153" s="14"/>
      <c r="PUP1153" s="14"/>
      <c r="PUQ1153" s="14"/>
      <c r="PUR1153" s="14"/>
      <c r="PUS1153" s="14"/>
      <c r="PUT1153" s="14"/>
      <c r="PUU1153" s="14"/>
      <c r="PUV1153" s="14"/>
      <c r="PUW1153" s="14"/>
      <c r="PUX1153" s="14"/>
      <c r="PUY1153" s="14"/>
      <c r="PUZ1153" s="14"/>
      <c r="PVA1153" s="14"/>
      <c r="PVB1153" s="14"/>
      <c r="PVC1153" s="14"/>
      <c r="PVD1153" s="14"/>
      <c r="PVE1153" s="14"/>
      <c r="PVF1153" s="14"/>
      <c r="PVG1153" s="14"/>
      <c r="PVH1153" s="14"/>
      <c r="PVI1153" s="14"/>
      <c r="PVJ1153" s="14"/>
      <c r="PVK1153" s="14"/>
      <c r="PVL1153" s="14"/>
      <c r="PVM1153" s="14"/>
      <c r="PVN1153" s="14"/>
      <c r="PVO1153" s="14"/>
      <c r="PVP1153" s="14"/>
      <c r="PVQ1153" s="14"/>
      <c r="PVR1153" s="14"/>
      <c r="PVS1153" s="14"/>
      <c r="PVT1153" s="14"/>
      <c r="PVU1153" s="14"/>
      <c r="PVV1153" s="14"/>
      <c r="PVW1153" s="14"/>
      <c r="PVX1153" s="14"/>
      <c r="PVY1153" s="14"/>
      <c r="PVZ1153" s="14"/>
      <c r="PWA1153" s="14"/>
      <c r="PWB1153" s="14"/>
      <c r="PWC1153" s="14"/>
      <c r="PWD1153" s="14"/>
      <c r="PWE1153" s="14"/>
      <c r="PWF1153" s="14"/>
      <c r="PWG1153" s="14"/>
      <c r="PWH1153" s="14"/>
      <c r="PWI1153" s="14"/>
      <c r="PWJ1153" s="14"/>
      <c r="PWK1153" s="14"/>
      <c r="PWL1153" s="14"/>
      <c r="PWM1153" s="14"/>
      <c r="PWN1153" s="14"/>
      <c r="PWO1153" s="14"/>
      <c r="PWP1153" s="14"/>
      <c r="PWQ1153" s="14"/>
      <c r="PWR1153" s="14"/>
      <c r="PWS1153" s="14"/>
      <c r="PWT1153" s="14"/>
      <c r="PWU1153" s="14"/>
      <c r="PWV1153" s="14"/>
      <c r="PWW1153" s="14"/>
      <c r="PWX1153" s="14"/>
      <c r="PWY1153" s="14"/>
      <c r="PWZ1153" s="14"/>
      <c r="PXA1153" s="14"/>
      <c r="PXB1153" s="14"/>
      <c r="PXC1153" s="14"/>
      <c r="PXD1153" s="14"/>
      <c r="PXE1153" s="14"/>
      <c r="PXF1153" s="14"/>
      <c r="PXG1153" s="14"/>
      <c r="PXH1153" s="14"/>
      <c r="PXI1153" s="14"/>
      <c r="PXJ1153" s="14"/>
      <c r="PXK1153" s="14"/>
      <c r="PXL1153" s="14"/>
      <c r="PXM1153" s="14"/>
      <c r="PXN1153" s="14"/>
      <c r="PXO1153" s="14"/>
      <c r="PXP1153" s="14"/>
      <c r="PXQ1153" s="14"/>
      <c r="PXR1153" s="14"/>
      <c r="PXS1153" s="14"/>
      <c r="PXT1153" s="14"/>
      <c r="PXU1153" s="14"/>
      <c r="PXV1153" s="14"/>
      <c r="PXW1153" s="14"/>
      <c r="PXX1153" s="14"/>
      <c r="PXY1153" s="14"/>
      <c r="PXZ1153" s="14"/>
      <c r="PYA1153" s="14"/>
      <c r="PYB1153" s="14"/>
      <c r="PYC1153" s="14"/>
      <c r="PYD1153" s="14"/>
      <c r="PYE1153" s="14"/>
      <c r="PYF1153" s="14"/>
      <c r="PYG1153" s="14"/>
      <c r="PYH1153" s="14"/>
      <c r="PYI1153" s="14"/>
      <c r="PYJ1153" s="14"/>
      <c r="PYK1153" s="14"/>
      <c r="PYL1153" s="14"/>
      <c r="PYM1153" s="14"/>
      <c r="PYN1153" s="14"/>
      <c r="PYO1153" s="14"/>
      <c r="PYP1153" s="14"/>
      <c r="PYQ1153" s="14"/>
      <c r="PYR1153" s="14"/>
      <c r="PYS1153" s="14"/>
      <c r="PYT1153" s="14"/>
      <c r="PYU1153" s="14"/>
      <c r="PYV1153" s="14"/>
      <c r="PYW1153" s="14"/>
      <c r="PYX1153" s="14"/>
      <c r="PYY1153" s="14"/>
      <c r="PYZ1153" s="14"/>
      <c r="PZA1153" s="14"/>
      <c r="PZB1153" s="14"/>
      <c r="PZC1153" s="14"/>
      <c r="PZD1153" s="14"/>
      <c r="PZE1153" s="14"/>
      <c r="PZF1153" s="14"/>
      <c r="PZG1153" s="14"/>
      <c r="PZH1153" s="14"/>
      <c r="PZI1153" s="14"/>
      <c r="PZJ1153" s="14"/>
      <c r="PZK1153" s="14"/>
      <c r="PZL1153" s="14"/>
      <c r="PZM1153" s="14"/>
      <c r="PZN1153" s="14"/>
      <c r="PZO1153" s="14"/>
      <c r="PZP1153" s="14"/>
      <c r="PZQ1153" s="14"/>
      <c r="PZR1153" s="14"/>
      <c r="PZS1153" s="14"/>
      <c r="PZT1153" s="14"/>
      <c r="PZU1153" s="14"/>
      <c r="PZV1153" s="14"/>
      <c r="PZW1153" s="14"/>
      <c r="PZX1153" s="14"/>
      <c r="PZY1153" s="14"/>
      <c r="PZZ1153" s="14"/>
      <c r="QAA1153" s="14"/>
      <c r="QAB1153" s="14"/>
      <c r="QAC1153" s="14"/>
      <c r="QAD1153" s="14"/>
      <c r="QAE1153" s="14"/>
      <c r="QAF1153" s="14"/>
      <c r="QAG1153" s="14"/>
      <c r="QAH1153" s="14"/>
      <c r="QAI1153" s="14"/>
      <c r="QAJ1153" s="14"/>
      <c r="QAK1153" s="14"/>
      <c r="QAL1153" s="14"/>
      <c r="QAM1153" s="14"/>
      <c r="QAN1153" s="14"/>
      <c r="QAO1153" s="14"/>
      <c r="QAP1153" s="14"/>
      <c r="QAQ1153" s="14"/>
      <c r="QAR1153" s="14"/>
      <c r="QAS1153" s="14"/>
      <c r="QAT1153" s="14"/>
      <c r="QAU1153" s="14"/>
      <c r="QAV1153" s="14"/>
      <c r="QAW1153" s="14"/>
      <c r="QAX1153" s="14"/>
      <c r="QAY1153" s="14"/>
      <c r="QAZ1153" s="14"/>
      <c r="QBA1153" s="14"/>
      <c r="QBB1153" s="14"/>
      <c r="QBC1153" s="14"/>
      <c r="QBD1153" s="14"/>
      <c r="QBE1153" s="14"/>
      <c r="QBF1153" s="14"/>
      <c r="QBG1153" s="14"/>
      <c r="QBH1153" s="14"/>
      <c r="QBI1153" s="14"/>
      <c r="QBJ1153" s="14"/>
      <c r="QBK1153" s="14"/>
      <c r="QBL1153" s="14"/>
      <c r="QBM1153" s="14"/>
      <c r="QBN1153" s="14"/>
      <c r="QBO1153" s="14"/>
      <c r="QBP1153" s="14"/>
      <c r="QBQ1153" s="14"/>
      <c r="QBR1153" s="14"/>
      <c r="QBS1153" s="14"/>
      <c r="QBT1153" s="14"/>
      <c r="QBU1153" s="14"/>
      <c r="QBV1153" s="14"/>
      <c r="QBW1153" s="14"/>
      <c r="QBX1153" s="14"/>
      <c r="QBY1153" s="14"/>
      <c r="QBZ1153" s="14"/>
      <c r="QCA1153" s="14"/>
      <c r="QCB1153" s="14"/>
      <c r="QCC1153" s="14"/>
      <c r="QCD1153" s="14"/>
      <c r="QCE1153" s="14"/>
      <c r="QCF1153" s="14"/>
      <c r="QCG1153" s="14"/>
      <c r="QCH1153" s="14"/>
      <c r="QCI1153" s="14"/>
      <c r="QCJ1153" s="14"/>
      <c r="QCK1153" s="14"/>
      <c r="QCL1153" s="14"/>
      <c r="QCM1153" s="14"/>
      <c r="QCN1153" s="14"/>
      <c r="QCO1153" s="14"/>
      <c r="QCP1153" s="14"/>
      <c r="QCQ1153" s="14"/>
      <c r="QCR1153" s="14"/>
      <c r="QCS1153" s="14"/>
      <c r="QCT1153" s="14"/>
      <c r="QCU1153" s="14"/>
      <c r="QCV1153" s="14"/>
      <c r="QCW1153" s="14"/>
      <c r="QCX1153" s="14"/>
      <c r="QCY1153" s="14"/>
      <c r="QCZ1153" s="14"/>
      <c r="QDA1153" s="14"/>
      <c r="QDB1153" s="14"/>
      <c r="QDC1153" s="14"/>
      <c r="QDD1153" s="14"/>
      <c r="QDE1153" s="14"/>
      <c r="QDF1153" s="14"/>
      <c r="QDG1153" s="14"/>
      <c r="QDH1153" s="14"/>
      <c r="QDI1153" s="14"/>
      <c r="QDJ1153" s="14"/>
      <c r="QDK1153" s="14"/>
      <c r="QDL1153" s="14"/>
      <c r="QDM1153" s="14"/>
      <c r="QDN1153" s="14"/>
      <c r="QDO1153" s="14"/>
      <c r="QDP1153" s="14"/>
      <c r="QDQ1153" s="14"/>
      <c r="QDR1153" s="14"/>
      <c r="QDS1153" s="14"/>
      <c r="QDT1153" s="14"/>
      <c r="QDU1153" s="14"/>
      <c r="QDV1153" s="14"/>
      <c r="QDW1153" s="14"/>
      <c r="QDX1153" s="14"/>
      <c r="QDY1153" s="14"/>
      <c r="QDZ1153" s="14"/>
      <c r="QEA1153" s="14"/>
      <c r="QEB1153" s="14"/>
      <c r="QEC1153" s="14"/>
      <c r="QED1153" s="14"/>
      <c r="QEE1153" s="14"/>
      <c r="QEF1153" s="14"/>
      <c r="QEG1153" s="14"/>
      <c r="QEH1153" s="14"/>
      <c r="QEI1153" s="14"/>
      <c r="QEJ1153" s="14"/>
      <c r="QEK1153" s="14"/>
      <c r="QEL1153" s="14"/>
      <c r="QEM1153" s="14"/>
      <c r="QEN1153" s="14"/>
      <c r="QEO1153" s="14"/>
      <c r="QEP1153" s="14"/>
      <c r="QEQ1153" s="14"/>
      <c r="QER1153" s="14"/>
      <c r="QES1153" s="14"/>
      <c r="QET1153" s="14"/>
      <c r="QEU1153" s="14"/>
      <c r="QEV1153" s="14"/>
      <c r="QEW1153" s="14"/>
      <c r="QEX1153" s="14"/>
      <c r="QEY1153" s="14"/>
      <c r="QEZ1153" s="14"/>
      <c r="QFA1153" s="14"/>
      <c r="QFB1153" s="14"/>
      <c r="QFC1153" s="14"/>
      <c r="QFD1153" s="14"/>
      <c r="QFE1153" s="14"/>
      <c r="QFF1153" s="14"/>
      <c r="QFG1153" s="14"/>
      <c r="QFH1153" s="14"/>
      <c r="QFI1153" s="14"/>
      <c r="QFJ1153" s="14"/>
      <c r="QFK1153" s="14"/>
      <c r="QFL1153" s="14"/>
      <c r="QFM1153" s="14"/>
      <c r="QFN1153" s="14"/>
      <c r="QFO1153" s="14"/>
      <c r="QFP1153" s="14"/>
      <c r="QFQ1153" s="14"/>
      <c r="QFR1153" s="14"/>
      <c r="QFS1153" s="14"/>
      <c r="QFT1153" s="14"/>
      <c r="QFU1153" s="14"/>
      <c r="QFV1153" s="14"/>
      <c r="QFW1153" s="14"/>
      <c r="QFX1153" s="14"/>
      <c r="QFY1153" s="14"/>
      <c r="QFZ1153" s="14"/>
      <c r="QGA1153" s="14"/>
      <c r="QGB1153" s="14"/>
      <c r="QGC1153" s="14"/>
      <c r="QGD1153" s="14"/>
      <c r="QGE1153" s="14"/>
      <c r="QGF1153" s="14"/>
      <c r="QGG1153" s="14"/>
      <c r="QGH1153" s="14"/>
      <c r="QGI1153" s="14"/>
      <c r="QGJ1153" s="14"/>
      <c r="QGK1153" s="14"/>
      <c r="QGL1153" s="14"/>
      <c r="QGM1153" s="14"/>
      <c r="QGN1153" s="14"/>
      <c r="QGO1153" s="14"/>
      <c r="QGP1153" s="14"/>
      <c r="QGQ1153" s="14"/>
      <c r="QGR1153" s="14"/>
      <c r="QGS1153" s="14"/>
      <c r="QGT1153" s="14"/>
      <c r="QGU1153" s="14"/>
      <c r="QGV1153" s="14"/>
      <c r="QGW1153" s="14"/>
      <c r="QGX1153" s="14"/>
      <c r="QGY1153" s="14"/>
      <c r="QGZ1153" s="14"/>
      <c r="QHA1153" s="14"/>
      <c r="QHB1153" s="14"/>
      <c r="QHC1153" s="14"/>
      <c r="QHD1153" s="14"/>
      <c r="QHE1153" s="14"/>
      <c r="QHF1153" s="14"/>
      <c r="QHG1153" s="14"/>
      <c r="QHH1153" s="14"/>
      <c r="QHI1153" s="14"/>
      <c r="QHJ1153" s="14"/>
      <c r="QHK1153" s="14"/>
      <c r="QHL1153" s="14"/>
      <c r="QHM1153" s="14"/>
      <c r="QHN1153" s="14"/>
      <c r="QHO1153" s="14"/>
      <c r="QHP1153" s="14"/>
      <c r="QHQ1153" s="14"/>
      <c r="QHR1153" s="14"/>
      <c r="QHS1153" s="14"/>
      <c r="QHT1153" s="14"/>
      <c r="QHU1153" s="14"/>
      <c r="QHV1153" s="14"/>
      <c r="QHW1153" s="14"/>
      <c r="QHX1153" s="14"/>
      <c r="QHY1153" s="14"/>
      <c r="QHZ1153" s="14"/>
      <c r="QIA1153" s="14"/>
      <c r="QIB1153" s="14"/>
      <c r="QIC1153" s="14"/>
      <c r="QID1153" s="14"/>
      <c r="QIE1153" s="14"/>
      <c r="QIF1153" s="14"/>
      <c r="QIG1153" s="14"/>
      <c r="QIH1153" s="14"/>
      <c r="QII1153" s="14"/>
      <c r="QIJ1153" s="14"/>
      <c r="QIK1153" s="14"/>
      <c r="QIL1153" s="14"/>
      <c r="QIM1153" s="14"/>
      <c r="QIN1153" s="14"/>
      <c r="QIO1153" s="14"/>
      <c r="QIP1153" s="14"/>
      <c r="QIQ1153" s="14"/>
      <c r="QIR1153" s="14"/>
      <c r="QIS1153" s="14"/>
      <c r="QIT1153" s="14"/>
      <c r="QIU1153" s="14"/>
      <c r="QIV1153" s="14"/>
      <c r="QIW1153" s="14"/>
      <c r="QIX1153" s="14"/>
      <c r="QIY1153" s="14"/>
      <c r="QIZ1153" s="14"/>
      <c r="QJA1153" s="14"/>
      <c r="QJB1153" s="14"/>
      <c r="QJC1153" s="14"/>
      <c r="QJD1153" s="14"/>
      <c r="QJE1153" s="14"/>
      <c r="QJF1153" s="14"/>
      <c r="QJG1153" s="14"/>
      <c r="QJH1153" s="14"/>
      <c r="QJI1153" s="14"/>
      <c r="QJJ1153" s="14"/>
      <c r="QJK1153" s="14"/>
      <c r="QJL1153" s="14"/>
      <c r="QJM1153" s="14"/>
      <c r="QJN1153" s="14"/>
      <c r="QJO1153" s="14"/>
      <c r="QJP1153" s="14"/>
      <c r="QJQ1153" s="14"/>
      <c r="QJR1153" s="14"/>
      <c r="QJS1153" s="14"/>
      <c r="QJT1153" s="14"/>
      <c r="QJU1153" s="14"/>
      <c r="QJV1153" s="14"/>
      <c r="QJW1153" s="14"/>
      <c r="QJX1153" s="14"/>
      <c r="QJY1153" s="14"/>
      <c r="QJZ1153" s="14"/>
      <c r="QKA1153" s="14"/>
      <c r="QKB1153" s="14"/>
      <c r="QKC1153" s="14"/>
      <c r="QKD1153" s="14"/>
      <c r="QKE1153" s="14"/>
      <c r="QKF1153" s="14"/>
      <c r="QKG1153" s="14"/>
      <c r="QKH1153" s="14"/>
      <c r="QKI1153" s="14"/>
      <c r="QKJ1153" s="14"/>
      <c r="QKK1153" s="14"/>
      <c r="QKL1153" s="14"/>
      <c r="QKM1153" s="14"/>
      <c r="QKN1153" s="14"/>
      <c r="QKO1153" s="14"/>
      <c r="QKP1153" s="14"/>
      <c r="QKQ1153" s="14"/>
      <c r="QKR1153" s="14"/>
      <c r="QKS1153" s="14"/>
      <c r="QKT1153" s="14"/>
      <c r="QKU1153" s="14"/>
      <c r="QKV1153" s="14"/>
      <c r="QKW1153" s="14"/>
      <c r="QKX1153" s="14"/>
      <c r="QKY1153" s="14"/>
      <c r="QKZ1153" s="14"/>
      <c r="QLA1153" s="14"/>
      <c r="QLB1153" s="14"/>
      <c r="QLC1153" s="14"/>
      <c r="QLD1153" s="14"/>
      <c r="QLE1153" s="14"/>
      <c r="QLF1153" s="14"/>
      <c r="QLG1153" s="14"/>
      <c r="QLH1153" s="14"/>
      <c r="QLI1153" s="14"/>
      <c r="QLJ1153" s="14"/>
      <c r="QLK1153" s="14"/>
      <c r="QLL1153" s="14"/>
      <c r="QLM1153" s="14"/>
      <c r="QLN1153" s="14"/>
      <c r="QLO1153" s="14"/>
      <c r="QLP1153" s="14"/>
      <c r="QLQ1153" s="14"/>
      <c r="QLR1153" s="14"/>
      <c r="QLS1153" s="14"/>
      <c r="QLT1153" s="14"/>
      <c r="QLU1153" s="14"/>
      <c r="QLV1153" s="14"/>
      <c r="QLW1153" s="14"/>
      <c r="QLX1153" s="14"/>
      <c r="QLY1153" s="14"/>
      <c r="QLZ1153" s="14"/>
      <c r="QMA1153" s="14"/>
      <c r="QMB1153" s="14"/>
      <c r="QMC1153" s="14"/>
      <c r="QMD1153" s="14"/>
      <c r="QME1153" s="14"/>
      <c r="QMF1153" s="14"/>
      <c r="QMG1153" s="14"/>
      <c r="QMH1153" s="14"/>
      <c r="QMI1153" s="14"/>
      <c r="QMJ1153" s="14"/>
      <c r="QMK1153" s="14"/>
      <c r="QML1153" s="14"/>
      <c r="QMM1153" s="14"/>
      <c r="QMN1153" s="14"/>
      <c r="QMO1153" s="14"/>
      <c r="QMP1153" s="14"/>
      <c r="QMQ1153" s="14"/>
      <c r="QMR1153" s="14"/>
      <c r="QMS1153" s="14"/>
      <c r="QMT1153" s="14"/>
      <c r="QMU1153" s="14"/>
      <c r="QMV1153" s="14"/>
      <c r="QMW1153" s="14"/>
      <c r="QMX1153" s="14"/>
      <c r="QMY1153" s="14"/>
      <c r="QMZ1153" s="14"/>
      <c r="QNA1153" s="14"/>
      <c r="QNB1153" s="14"/>
      <c r="QNC1153" s="14"/>
      <c r="QND1153" s="14"/>
      <c r="QNE1153" s="14"/>
      <c r="QNF1153" s="14"/>
      <c r="QNG1153" s="14"/>
      <c r="QNH1153" s="14"/>
      <c r="QNI1153" s="14"/>
      <c r="QNJ1153" s="14"/>
      <c r="QNK1153" s="14"/>
      <c r="QNL1153" s="14"/>
      <c r="QNM1153" s="14"/>
      <c r="QNN1153" s="14"/>
      <c r="QNO1153" s="14"/>
      <c r="QNP1153" s="14"/>
      <c r="QNQ1153" s="14"/>
      <c r="QNR1153" s="14"/>
      <c r="QNS1153" s="14"/>
      <c r="QNT1153" s="14"/>
      <c r="QNU1153" s="14"/>
      <c r="QNV1153" s="14"/>
      <c r="QNW1153" s="14"/>
      <c r="QNX1153" s="14"/>
      <c r="QNY1153" s="14"/>
      <c r="QNZ1153" s="14"/>
      <c r="QOA1153" s="14"/>
      <c r="QOB1153" s="14"/>
      <c r="QOC1153" s="14"/>
      <c r="QOD1153" s="14"/>
      <c r="QOE1153" s="14"/>
      <c r="QOF1153" s="14"/>
      <c r="QOG1153" s="14"/>
      <c r="QOH1153" s="14"/>
      <c r="QOI1153" s="14"/>
      <c r="QOJ1153" s="14"/>
      <c r="QOK1153" s="14"/>
      <c r="QOL1153" s="14"/>
      <c r="QOM1153" s="14"/>
      <c r="QON1153" s="14"/>
      <c r="QOO1153" s="14"/>
      <c r="QOP1153" s="14"/>
      <c r="QOQ1153" s="14"/>
      <c r="QOR1153" s="14"/>
      <c r="QOS1153" s="14"/>
      <c r="QOT1153" s="14"/>
      <c r="QOU1153" s="14"/>
      <c r="QOV1153" s="14"/>
      <c r="QOW1153" s="14"/>
      <c r="QOX1153" s="14"/>
      <c r="QOY1153" s="14"/>
      <c r="QOZ1153" s="14"/>
      <c r="QPA1153" s="14"/>
      <c r="QPB1153" s="14"/>
      <c r="QPC1153" s="14"/>
      <c r="QPD1153" s="14"/>
      <c r="QPE1153" s="14"/>
      <c r="QPF1153" s="14"/>
      <c r="QPG1153" s="14"/>
      <c r="QPH1153" s="14"/>
      <c r="QPI1153" s="14"/>
      <c r="QPJ1153" s="14"/>
      <c r="QPK1153" s="14"/>
      <c r="QPL1153" s="14"/>
      <c r="QPM1153" s="14"/>
      <c r="QPN1153" s="14"/>
      <c r="QPO1153" s="14"/>
      <c r="QPP1153" s="14"/>
      <c r="QPQ1153" s="14"/>
      <c r="QPR1153" s="14"/>
      <c r="QPS1153" s="14"/>
      <c r="QPT1153" s="14"/>
      <c r="QPU1153" s="14"/>
      <c r="QPV1153" s="14"/>
      <c r="QPW1153" s="14"/>
      <c r="QPX1153" s="14"/>
      <c r="QPY1153" s="14"/>
      <c r="QPZ1153" s="14"/>
      <c r="QQA1153" s="14"/>
      <c r="QQB1153" s="14"/>
      <c r="QQC1153" s="14"/>
      <c r="QQD1153" s="14"/>
      <c r="QQE1153" s="14"/>
      <c r="QQF1153" s="14"/>
      <c r="QQG1153" s="14"/>
      <c r="QQH1153" s="14"/>
      <c r="QQI1153" s="14"/>
      <c r="QQJ1153" s="14"/>
      <c r="QQK1153" s="14"/>
      <c r="QQL1153" s="14"/>
      <c r="QQM1153" s="14"/>
      <c r="QQN1153" s="14"/>
      <c r="QQO1153" s="14"/>
      <c r="QQP1153" s="14"/>
      <c r="QQQ1153" s="14"/>
      <c r="QQR1153" s="14"/>
      <c r="QQS1153" s="14"/>
      <c r="QQT1153" s="14"/>
      <c r="QQU1153" s="14"/>
      <c r="QQV1153" s="14"/>
      <c r="QQW1153" s="14"/>
      <c r="QQX1153" s="14"/>
      <c r="QQY1153" s="14"/>
      <c r="QQZ1153" s="14"/>
      <c r="QRA1153" s="14"/>
      <c r="QRB1153" s="14"/>
      <c r="QRC1153" s="14"/>
      <c r="QRD1153" s="14"/>
      <c r="QRE1153" s="14"/>
      <c r="QRF1153" s="14"/>
      <c r="QRG1153" s="14"/>
      <c r="QRH1153" s="14"/>
      <c r="QRI1153" s="14"/>
      <c r="QRJ1153" s="14"/>
      <c r="QRK1153" s="14"/>
      <c r="QRL1153" s="14"/>
      <c r="QRM1153" s="14"/>
      <c r="QRN1153" s="14"/>
      <c r="QRO1153" s="14"/>
      <c r="QRP1153" s="14"/>
      <c r="QRQ1153" s="14"/>
      <c r="QRR1153" s="14"/>
      <c r="QRS1153" s="14"/>
      <c r="QRT1153" s="14"/>
      <c r="QRU1153" s="14"/>
      <c r="QRV1153" s="14"/>
      <c r="QRW1153" s="14"/>
      <c r="QRX1153" s="14"/>
      <c r="QRY1153" s="14"/>
      <c r="QRZ1153" s="14"/>
      <c r="QSA1153" s="14"/>
      <c r="QSB1153" s="14"/>
      <c r="QSC1153" s="14"/>
      <c r="QSD1153" s="14"/>
      <c r="QSE1153" s="14"/>
      <c r="QSF1153" s="14"/>
      <c r="QSG1153" s="14"/>
      <c r="QSH1153" s="14"/>
      <c r="QSI1153" s="14"/>
      <c r="QSJ1153" s="14"/>
      <c r="QSK1153" s="14"/>
      <c r="QSL1153" s="14"/>
      <c r="QSM1153" s="14"/>
      <c r="QSN1153" s="14"/>
      <c r="QSO1153" s="14"/>
      <c r="QSP1153" s="14"/>
      <c r="QSQ1153" s="14"/>
      <c r="QSR1153" s="14"/>
      <c r="QSS1153" s="14"/>
      <c r="QST1153" s="14"/>
      <c r="QSU1153" s="14"/>
      <c r="QSV1153" s="14"/>
      <c r="QSW1153" s="14"/>
      <c r="QSX1153" s="14"/>
      <c r="QSY1153" s="14"/>
      <c r="QSZ1153" s="14"/>
      <c r="QTA1153" s="14"/>
      <c r="QTB1153" s="14"/>
      <c r="QTC1153" s="14"/>
      <c r="QTD1153" s="14"/>
      <c r="QTE1153" s="14"/>
      <c r="QTF1153" s="14"/>
      <c r="QTG1153" s="14"/>
      <c r="QTH1153" s="14"/>
      <c r="QTI1153" s="14"/>
      <c r="QTJ1153" s="14"/>
      <c r="QTK1153" s="14"/>
      <c r="QTL1153" s="14"/>
      <c r="QTM1153" s="14"/>
      <c r="QTN1153" s="14"/>
      <c r="QTO1153" s="14"/>
      <c r="QTP1153" s="14"/>
      <c r="QTQ1153" s="14"/>
      <c r="QTR1153" s="14"/>
      <c r="QTS1153" s="14"/>
      <c r="QTT1153" s="14"/>
      <c r="QTU1153" s="14"/>
      <c r="QTV1153" s="14"/>
      <c r="QTW1153" s="14"/>
      <c r="QTX1153" s="14"/>
      <c r="QTY1153" s="14"/>
      <c r="QTZ1153" s="14"/>
      <c r="QUA1153" s="14"/>
      <c r="QUB1153" s="14"/>
      <c r="QUC1153" s="14"/>
      <c r="QUD1153" s="14"/>
      <c r="QUE1153" s="14"/>
      <c r="QUF1153" s="14"/>
      <c r="QUG1153" s="14"/>
      <c r="QUH1153" s="14"/>
      <c r="QUI1153" s="14"/>
      <c r="QUJ1153" s="14"/>
      <c r="QUK1153" s="14"/>
      <c r="QUL1153" s="14"/>
      <c r="QUM1153" s="14"/>
      <c r="QUN1153" s="14"/>
      <c r="QUO1153" s="14"/>
      <c r="QUP1153" s="14"/>
      <c r="QUQ1153" s="14"/>
      <c r="QUR1153" s="14"/>
      <c r="QUS1153" s="14"/>
      <c r="QUT1153" s="14"/>
      <c r="QUU1153" s="14"/>
      <c r="QUV1153" s="14"/>
      <c r="QUW1153" s="14"/>
      <c r="QUX1153" s="14"/>
      <c r="QUY1153" s="14"/>
      <c r="QUZ1153" s="14"/>
      <c r="QVA1153" s="14"/>
      <c r="QVB1153" s="14"/>
      <c r="QVC1153" s="14"/>
      <c r="QVD1153" s="14"/>
      <c r="QVE1153" s="14"/>
      <c r="QVF1153" s="14"/>
      <c r="QVG1153" s="14"/>
      <c r="QVH1153" s="14"/>
      <c r="QVI1153" s="14"/>
      <c r="QVJ1153" s="14"/>
      <c r="QVK1153" s="14"/>
      <c r="QVL1153" s="14"/>
      <c r="QVM1153" s="14"/>
      <c r="QVN1153" s="14"/>
      <c r="QVO1153" s="14"/>
      <c r="QVP1153" s="14"/>
      <c r="QVQ1153" s="14"/>
      <c r="QVR1153" s="14"/>
      <c r="QVS1153" s="14"/>
      <c r="QVT1153" s="14"/>
      <c r="QVU1153" s="14"/>
      <c r="QVV1153" s="14"/>
      <c r="QVW1153" s="14"/>
      <c r="QVX1153" s="14"/>
      <c r="QVY1153" s="14"/>
      <c r="QVZ1153" s="14"/>
      <c r="QWA1153" s="14"/>
      <c r="QWB1153" s="14"/>
      <c r="QWC1153" s="14"/>
      <c r="QWD1153" s="14"/>
      <c r="QWE1153" s="14"/>
      <c r="QWF1153" s="14"/>
      <c r="QWG1153" s="14"/>
      <c r="QWH1153" s="14"/>
      <c r="QWI1153" s="14"/>
      <c r="QWJ1153" s="14"/>
      <c r="QWK1153" s="14"/>
      <c r="QWL1153" s="14"/>
      <c r="QWM1153" s="14"/>
      <c r="QWN1153" s="14"/>
      <c r="QWO1153" s="14"/>
      <c r="QWP1153" s="14"/>
      <c r="QWQ1153" s="14"/>
      <c r="QWR1153" s="14"/>
      <c r="QWS1153" s="14"/>
      <c r="QWT1153" s="14"/>
      <c r="QWU1153" s="14"/>
      <c r="QWV1153" s="14"/>
      <c r="QWW1153" s="14"/>
      <c r="QWX1153" s="14"/>
      <c r="QWY1153" s="14"/>
      <c r="QWZ1153" s="14"/>
      <c r="QXA1153" s="14"/>
      <c r="QXB1153" s="14"/>
      <c r="QXC1153" s="14"/>
      <c r="QXD1153" s="14"/>
      <c r="QXE1153" s="14"/>
      <c r="QXF1153" s="14"/>
      <c r="QXG1153" s="14"/>
      <c r="QXH1153" s="14"/>
      <c r="QXI1153" s="14"/>
      <c r="QXJ1153" s="14"/>
      <c r="QXK1153" s="14"/>
      <c r="QXL1153" s="14"/>
      <c r="QXM1153" s="14"/>
      <c r="QXN1153" s="14"/>
      <c r="QXO1153" s="14"/>
      <c r="QXP1153" s="14"/>
      <c r="QXQ1153" s="14"/>
      <c r="QXR1153" s="14"/>
      <c r="QXS1153" s="14"/>
      <c r="QXT1153" s="14"/>
      <c r="QXU1153" s="14"/>
      <c r="QXV1153" s="14"/>
      <c r="QXW1153" s="14"/>
      <c r="QXX1153" s="14"/>
      <c r="QXY1153" s="14"/>
      <c r="QXZ1153" s="14"/>
      <c r="QYA1153" s="14"/>
      <c r="QYB1153" s="14"/>
      <c r="QYC1153" s="14"/>
      <c r="QYD1153" s="14"/>
      <c r="QYE1153" s="14"/>
      <c r="QYF1153" s="14"/>
      <c r="QYG1153" s="14"/>
      <c r="QYH1153" s="14"/>
      <c r="QYI1153" s="14"/>
      <c r="QYJ1153" s="14"/>
      <c r="QYK1153" s="14"/>
      <c r="QYL1153" s="14"/>
      <c r="QYM1153" s="14"/>
      <c r="QYN1153" s="14"/>
      <c r="QYO1153" s="14"/>
      <c r="QYP1153" s="14"/>
      <c r="QYQ1153" s="14"/>
      <c r="QYR1153" s="14"/>
      <c r="QYS1153" s="14"/>
      <c r="QYT1153" s="14"/>
      <c r="QYU1153" s="14"/>
      <c r="QYV1153" s="14"/>
      <c r="QYW1153" s="14"/>
      <c r="QYX1153" s="14"/>
      <c r="QYY1153" s="14"/>
      <c r="QYZ1153" s="14"/>
      <c r="QZA1153" s="14"/>
      <c r="QZB1153" s="14"/>
      <c r="QZC1153" s="14"/>
      <c r="QZD1153" s="14"/>
      <c r="QZE1153" s="14"/>
      <c r="QZF1153" s="14"/>
      <c r="QZG1153" s="14"/>
      <c r="QZH1153" s="14"/>
      <c r="QZI1153" s="14"/>
      <c r="QZJ1153" s="14"/>
      <c r="QZK1153" s="14"/>
      <c r="QZL1153" s="14"/>
      <c r="QZM1153" s="14"/>
      <c r="QZN1153" s="14"/>
      <c r="QZO1153" s="14"/>
      <c r="QZP1153" s="14"/>
      <c r="QZQ1153" s="14"/>
      <c r="QZR1153" s="14"/>
      <c r="QZS1153" s="14"/>
      <c r="QZT1153" s="14"/>
      <c r="QZU1153" s="14"/>
      <c r="QZV1153" s="14"/>
      <c r="QZW1153" s="14"/>
      <c r="QZX1153" s="14"/>
      <c r="QZY1153" s="14"/>
      <c r="QZZ1153" s="14"/>
      <c r="RAA1153" s="14"/>
      <c r="RAB1153" s="14"/>
      <c r="RAC1153" s="14"/>
      <c r="RAD1153" s="14"/>
      <c r="RAE1153" s="14"/>
      <c r="RAF1153" s="14"/>
      <c r="RAG1153" s="14"/>
      <c r="RAH1153" s="14"/>
      <c r="RAI1153" s="14"/>
      <c r="RAJ1153" s="14"/>
      <c r="RAK1153" s="14"/>
      <c r="RAL1153" s="14"/>
      <c r="RAM1153" s="14"/>
      <c r="RAN1153" s="14"/>
      <c r="RAO1153" s="14"/>
      <c r="RAP1153" s="14"/>
      <c r="RAQ1153" s="14"/>
      <c r="RAR1153" s="14"/>
      <c r="RAS1153" s="14"/>
      <c r="RAT1153" s="14"/>
      <c r="RAU1153" s="14"/>
      <c r="RAV1153" s="14"/>
      <c r="RAW1153" s="14"/>
      <c r="RAX1153" s="14"/>
      <c r="RAY1153" s="14"/>
      <c r="RAZ1153" s="14"/>
      <c r="RBA1153" s="14"/>
      <c r="RBB1153" s="14"/>
      <c r="RBC1153" s="14"/>
      <c r="RBD1153" s="14"/>
      <c r="RBE1153" s="14"/>
      <c r="RBF1153" s="14"/>
      <c r="RBG1153" s="14"/>
      <c r="RBH1153" s="14"/>
      <c r="RBI1153" s="14"/>
      <c r="RBJ1153" s="14"/>
      <c r="RBK1153" s="14"/>
      <c r="RBL1153" s="14"/>
      <c r="RBM1153" s="14"/>
      <c r="RBN1153" s="14"/>
      <c r="RBO1153" s="14"/>
      <c r="RBP1153" s="14"/>
      <c r="RBQ1153" s="14"/>
      <c r="RBR1153" s="14"/>
      <c r="RBS1153" s="14"/>
      <c r="RBT1153" s="14"/>
      <c r="RBU1153" s="14"/>
      <c r="RBV1153" s="14"/>
      <c r="RBW1153" s="14"/>
      <c r="RBX1153" s="14"/>
      <c r="RBY1153" s="14"/>
      <c r="RBZ1153" s="14"/>
      <c r="RCA1153" s="14"/>
      <c r="RCB1153" s="14"/>
      <c r="RCC1153" s="14"/>
      <c r="RCD1153" s="14"/>
      <c r="RCE1153" s="14"/>
      <c r="RCF1153" s="14"/>
      <c r="RCG1153" s="14"/>
      <c r="RCH1153" s="14"/>
      <c r="RCI1153" s="14"/>
      <c r="RCJ1153" s="14"/>
      <c r="RCK1153" s="14"/>
      <c r="RCL1153" s="14"/>
      <c r="RCM1153" s="14"/>
      <c r="RCN1153" s="14"/>
      <c r="RCO1153" s="14"/>
      <c r="RCP1153" s="14"/>
      <c r="RCQ1153" s="14"/>
      <c r="RCR1153" s="14"/>
      <c r="RCS1153" s="14"/>
      <c r="RCT1153" s="14"/>
      <c r="RCU1153" s="14"/>
      <c r="RCV1153" s="14"/>
      <c r="RCW1153" s="14"/>
      <c r="RCX1153" s="14"/>
      <c r="RCY1153" s="14"/>
      <c r="RCZ1153" s="14"/>
      <c r="RDA1153" s="14"/>
      <c r="RDB1153" s="14"/>
      <c r="RDC1153" s="14"/>
      <c r="RDD1153" s="14"/>
      <c r="RDE1153" s="14"/>
      <c r="RDF1153" s="14"/>
      <c r="RDG1153" s="14"/>
      <c r="RDH1153" s="14"/>
      <c r="RDI1153" s="14"/>
      <c r="RDJ1153" s="14"/>
      <c r="RDK1153" s="14"/>
      <c r="RDL1153" s="14"/>
      <c r="RDM1153" s="14"/>
      <c r="RDN1153" s="14"/>
      <c r="RDO1153" s="14"/>
      <c r="RDP1153" s="14"/>
      <c r="RDQ1153" s="14"/>
      <c r="RDR1153" s="14"/>
      <c r="RDS1153" s="14"/>
      <c r="RDT1153" s="14"/>
      <c r="RDU1153" s="14"/>
      <c r="RDV1153" s="14"/>
      <c r="RDW1153" s="14"/>
      <c r="RDX1153" s="14"/>
      <c r="RDY1153" s="14"/>
      <c r="RDZ1153" s="14"/>
      <c r="REA1153" s="14"/>
      <c r="REB1153" s="14"/>
      <c r="REC1153" s="14"/>
      <c r="RED1153" s="14"/>
      <c r="REE1153" s="14"/>
      <c r="REF1153" s="14"/>
      <c r="REG1153" s="14"/>
      <c r="REH1153" s="14"/>
      <c r="REI1153" s="14"/>
      <c r="REJ1153" s="14"/>
      <c r="REK1153" s="14"/>
      <c r="REL1153" s="14"/>
      <c r="REM1153" s="14"/>
      <c r="REN1153" s="14"/>
      <c r="REO1153" s="14"/>
      <c r="REP1153" s="14"/>
      <c r="REQ1153" s="14"/>
      <c r="RER1153" s="14"/>
      <c r="RES1153" s="14"/>
      <c r="RET1153" s="14"/>
      <c r="REU1153" s="14"/>
      <c r="REV1153" s="14"/>
      <c r="REW1153" s="14"/>
      <c r="REX1153" s="14"/>
      <c r="REY1153" s="14"/>
      <c r="REZ1153" s="14"/>
      <c r="RFA1153" s="14"/>
      <c r="RFB1153" s="14"/>
      <c r="RFC1153" s="14"/>
      <c r="RFD1153" s="14"/>
      <c r="RFE1153" s="14"/>
      <c r="RFF1153" s="14"/>
      <c r="RFG1153" s="14"/>
      <c r="RFH1153" s="14"/>
      <c r="RFI1153" s="14"/>
      <c r="RFJ1153" s="14"/>
      <c r="RFK1153" s="14"/>
      <c r="RFL1153" s="14"/>
      <c r="RFM1153" s="14"/>
      <c r="RFN1153" s="14"/>
      <c r="RFO1153" s="14"/>
      <c r="RFP1153" s="14"/>
      <c r="RFQ1153" s="14"/>
      <c r="RFR1153" s="14"/>
      <c r="RFS1153" s="14"/>
      <c r="RFT1153" s="14"/>
      <c r="RFU1153" s="14"/>
      <c r="RFV1153" s="14"/>
      <c r="RFW1153" s="14"/>
      <c r="RFX1153" s="14"/>
      <c r="RFY1153" s="14"/>
      <c r="RFZ1153" s="14"/>
      <c r="RGA1153" s="14"/>
      <c r="RGB1153" s="14"/>
      <c r="RGC1153" s="14"/>
      <c r="RGD1153" s="14"/>
      <c r="RGE1153" s="14"/>
      <c r="RGF1153" s="14"/>
      <c r="RGG1153" s="14"/>
      <c r="RGH1153" s="14"/>
      <c r="RGI1153" s="14"/>
      <c r="RGJ1153" s="14"/>
      <c r="RGK1153" s="14"/>
      <c r="RGL1153" s="14"/>
      <c r="RGM1153" s="14"/>
      <c r="RGN1153" s="14"/>
      <c r="RGO1153" s="14"/>
      <c r="RGP1153" s="14"/>
      <c r="RGQ1153" s="14"/>
      <c r="RGR1153" s="14"/>
      <c r="RGS1153" s="14"/>
      <c r="RGT1153" s="14"/>
      <c r="RGU1153" s="14"/>
      <c r="RGV1153" s="14"/>
      <c r="RGW1153" s="14"/>
      <c r="RGX1153" s="14"/>
      <c r="RGY1153" s="14"/>
      <c r="RGZ1153" s="14"/>
      <c r="RHA1153" s="14"/>
      <c r="RHB1153" s="14"/>
      <c r="RHC1153" s="14"/>
      <c r="RHD1153" s="14"/>
      <c r="RHE1153" s="14"/>
      <c r="RHF1153" s="14"/>
      <c r="RHG1153" s="14"/>
      <c r="RHH1153" s="14"/>
      <c r="RHI1153" s="14"/>
      <c r="RHJ1153" s="14"/>
      <c r="RHK1153" s="14"/>
      <c r="RHL1153" s="14"/>
      <c r="RHM1153" s="14"/>
      <c r="RHN1153" s="14"/>
      <c r="RHO1153" s="14"/>
      <c r="RHP1153" s="14"/>
      <c r="RHQ1153" s="14"/>
      <c r="RHR1153" s="14"/>
      <c r="RHS1153" s="14"/>
      <c r="RHT1153" s="14"/>
      <c r="RHU1153" s="14"/>
      <c r="RHV1153" s="14"/>
      <c r="RHW1153" s="14"/>
      <c r="RHX1153" s="14"/>
      <c r="RHY1153" s="14"/>
      <c r="RHZ1153" s="14"/>
      <c r="RIA1153" s="14"/>
      <c r="RIB1153" s="14"/>
      <c r="RIC1153" s="14"/>
      <c r="RID1153" s="14"/>
      <c r="RIE1153" s="14"/>
      <c r="RIF1153" s="14"/>
      <c r="RIG1153" s="14"/>
      <c r="RIH1153" s="14"/>
      <c r="RII1153" s="14"/>
      <c r="RIJ1153" s="14"/>
      <c r="RIK1153" s="14"/>
      <c r="RIL1153" s="14"/>
      <c r="RIM1153" s="14"/>
      <c r="RIN1153" s="14"/>
      <c r="RIO1153" s="14"/>
      <c r="RIP1153" s="14"/>
      <c r="RIQ1153" s="14"/>
      <c r="RIR1153" s="14"/>
      <c r="RIS1153" s="14"/>
      <c r="RIT1153" s="14"/>
      <c r="RIU1153" s="14"/>
      <c r="RIV1153" s="14"/>
      <c r="RIW1153" s="14"/>
      <c r="RIX1153" s="14"/>
      <c r="RIY1153" s="14"/>
      <c r="RIZ1153" s="14"/>
      <c r="RJA1153" s="14"/>
      <c r="RJB1153" s="14"/>
      <c r="RJC1153" s="14"/>
      <c r="RJD1153" s="14"/>
      <c r="RJE1153" s="14"/>
      <c r="RJF1153" s="14"/>
      <c r="RJG1153" s="14"/>
      <c r="RJH1153" s="14"/>
      <c r="RJI1153" s="14"/>
      <c r="RJJ1153" s="14"/>
      <c r="RJK1153" s="14"/>
      <c r="RJL1153" s="14"/>
      <c r="RJM1153" s="14"/>
      <c r="RJN1153" s="14"/>
      <c r="RJO1153" s="14"/>
      <c r="RJP1153" s="14"/>
      <c r="RJQ1153" s="14"/>
      <c r="RJR1153" s="14"/>
      <c r="RJS1153" s="14"/>
      <c r="RJT1153" s="14"/>
      <c r="RJU1153" s="14"/>
      <c r="RJV1153" s="14"/>
      <c r="RJW1153" s="14"/>
      <c r="RJX1153" s="14"/>
      <c r="RJY1153" s="14"/>
      <c r="RJZ1153" s="14"/>
      <c r="RKA1153" s="14"/>
      <c r="RKB1153" s="14"/>
      <c r="RKC1153" s="14"/>
      <c r="RKD1153" s="14"/>
      <c r="RKE1153" s="14"/>
      <c r="RKF1153" s="14"/>
      <c r="RKG1153" s="14"/>
      <c r="RKH1153" s="14"/>
      <c r="RKI1153" s="14"/>
      <c r="RKJ1153" s="14"/>
      <c r="RKK1153" s="14"/>
      <c r="RKL1153" s="14"/>
      <c r="RKM1153" s="14"/>
      <c r="RKN1153" s="14"/>
      <c r="RKO1153" s="14"/>
      <c r="RKP1153" s="14"/>
      <c r="RKQ1153" s="14"/>
      <c r="RKR1153" s="14"/>
      <c r="RKS1153" s="14"/>
      <c r="RKT1153" s="14"/>
      <c r="RKU1153" s="14"/>
      <c r="RKV1153" s="14"/>
      <c r="RKW1153" s="14"/>
      <c r="RKX1153" s="14"/>
      <c r="RKY1153" s="14"/>
      <c r="RKZ1153" s="14"/>
      <c r="RLA1153" s="14"/>
      <c r="RLB1153" s="14"/>
      <c r="RLC1153" s="14"/>
      <c r="RLD1153" s="14"/>
      <c r="RLE1153" s="14"/>
      <c r="RLF1153" s="14"/>
      <c r="RLG1153" s="14"/>
      <c r="RLH1153" s="14"/>
      <c r="RLI1153" s="14"/>
      <c r="RLJ1153" s="14"/>
      <c r="RLK1153" s="14"/>
      <c r="RLL1153" s="14"/>
      <c r="RLM1153" s="14"/>
      <c r="RLN1153" s="14"/>
      <c r="RLO1153" s="14"/>
      <c r="RLP1153" s="14"/>
      <c r="RLQ1153" s="14"/>
      <c r="RLR1153" s="14"/>
      <c r="RLS1153" s="14"/>
      <c r="RLT1153" s="14"/>
      <c r="RLU1153" s="14"/>
      <c r="RLV1153" s="14"/>
      <c r="RLW1153" s="14"/>
      <c r="RLX1153" s="14"/>
      <c r="RLY1153" s="14"/>
      <c r="RLZ1153" s="14"/>
      <c r="RMA1153" s="14"/>
      <c r="RMB1153" s="14"/>
      <c r="RMC1153" s="14"/>
      <c r="RMD1153" s="14"/>
      <c r="RME1153" s="14"/>
      <c r="RMF1153" s="14"/>
      <c r="RMG1153" s="14"/>
      <c r="RMH1153" s="14"/>
      <c r="RMI1153" s="14"/>
      <c r="RMJ1153" s="14"/>
      <c r="RMK1153" s="14"/>
      <c r="RML1153" s="14"/>
      <c r="RMM1153" s="14"/>
      <c r="RMN1153" s="14"/>
      <c r="RMO1153" s="14"/>
      <c r="RMP1153" s="14"/>
      <c r="RMQ1153" s="14"/>
      <c r="RMR1153" s="14"/>
      <c r="RMS1153" s="14"/>
      <c r="RMT1153" s="14"/>
      <c r="RMU1153" s="14"/>
      <c r="RMV1153" s="14"/>
      <c r="RMW1153" s="14"/>
      <c r="RMX1153" s="14"/>
      <c r="RMY1153" s="14"/>
      <c r="RMZ1153" s="14"/>
      <c r="RNA1153" s="14"/>
      <c r="RNB1153" s="14"/>
      <c r="RNC1153" s="14"/>
      <c r="RND1153" s="14"/>
      <c r="RNE1153" s="14"/>
      <c r="RNF1153" s="14"/>
      <c r="RNG1153" s="14"/>
      <c r="RNH1153" s="14"/>
      <c r="RNI1153" s="14"/>
      <c r="RNJ1153" s="14"/>
      <c r="RNK1153" s="14"/>
      <c r="RNL1153" s="14"/>
      <c r="RNM1153" s="14"/>
      <c r="RNN1153" s="14"/>
      <c r="RNO1153" s="14"/>
      <c r="RNP1153" s="14"/>
      <c r="RNQ1153" s="14"/>
      <c r="RNR1153" s="14"/>
      <c r="RNS1153" s="14"/>
      <c r="RNT1153" s="14"/>
      <c r="RNU1153" s="14"/>
      <c r="RNV1153" s="14"/>
      <c r="RNW1153" s="14"/>
      <c r="RNX1153" s="14"/>
      <c r="RNY1153" s="14"/>
      <c r="RNZ1153" s="14"/>
      <c r="ROA1153" s="14"/>
      <c r="ROB1153" s="14"/>
      <c r="ROC1153" s="14"/>
      <c r="ROD1153" s="14"/>
      <c r="ROE1153" s="14"/>
      <c r="ROF1153" s="14"/>
      <c r="ROG1153" s="14"/>
      <c r="ROH1153" s="14"/>
      <c r="ROI1153" s="14"/>
      <c r="ROJ1153" s="14"/>
      <c r="ROK1153" s="14"/>
      <c r="ROL1153" s="14"/>
      <c r="ROM1153" s="14"/>
      <c r="RON1153" s="14"/>
      <c r="ROO1153" s="14"/>
      <c r="ROP1153" s="14"/>
      <c r="ROQ1153" s="14"/>
      <c r="ROR1153" s="14"/>
      <c r="ROS1153" s="14"/>
      <c r="ROT1153" s="14"/>
      <c r="ROU1153" s="14"/>
      <c r="ROV1153" s="14"/>
      <c r="ROW1153" s="14"/>
      <c r="ROX1153" s="14"/>
      <c r="ROY1153" s="14"/>
      <c r="ROZ1153" s="14"/>
      <c r="RPA1153" s="14"/>
      <c r="RPB1153" s="14"/>
      <c r="RPC1153" s="14"/>
      <c r="RPD1153" s="14"/>
      <c r="RPE1153" s="14"/>
      <c r="RPF1153" s="14"/>
      <c r="RPG1153" s="14"/>
      <c r="RPH1153" s="14"/>
      <c r="RPI1153" s="14"/>
      <c r="RPJ1153" s="14"/>
      <c r="RPK1153" s="14"/>
      <c r="RPL1153" s="14"/>
      <c r="RPM1153" s="14"/>
      <c r="RPN1153" s="14"/>
      <c r="RPO1153" s="14"/>
      <c r="RPP1153" s="14"/>
      <c r="RPQ1153" s="14"/>
      <c r="RPR1153" s="14"/>
      <c r="RPS1153" s="14"/>
      <c r="RPT1153" s="14"/>
      <c r="RPU1153" s="14"/>
      <c r="RPV1153" s="14"/>
      <c r="RPW1153" s="14"/>
      <c r="RPX1153" s="14"/>
      <c r="RPY1153" s="14"/>
      <c r="RPZ1153" s="14"/>
      <c r="RQA1153" s="14"/>
      <c r="RQB1153" s="14"/>
      <c r="RQC1153" s="14"/>
      <c r="RQD1153" s="14"/>
      <c r="RQE1153" s="14"/>
      <c r="RQF1153" s="14"/>
      <c r="RQG1153" s="14"/>
      <c r="RQH1153" s="14"/>
      <c r="RQI1153" s="14"/>
      <c r="RQJ1153" s="14"/>
      <c r="RQK1153" s="14"/>
      <c r="RQL1153" s="14"/>
      <c r="RQM1153" s="14"/>
      <c r="RQN1153" s="14"/>
      <c r="RQO1153" s="14"/>
      <c r="RQP1153" s="14"/>
      <c r="RQQ1153" s="14"/>
      <c r="RQR1153" s="14"/>
      <c r="RQS1153" s="14"/>
      <c r="RQT1153" s="14"/>
      <c r="RQU1153" s="14"/>
      <c r="RQV1153" s="14"/>
      <c r="RQW1153" s="14"/>
      <c r="RQX1153" s="14"/>
      <c r="RQY1153" s="14"/>
      <c r="RQZ1153" s="14"/>
      <c r="RRA1153" s="14"/>
      <c r="RRB1153" s="14"/>
      <c r="RRC1153" s="14"/>
      <c r="RRD1153" s="14"/>
      <c r="RRE1153" s="14"/>
      <c r="RRF1153" s="14"/>
      <c r="RRG1153" s="14"/>
      <c r="RRH1153" s="14"/>
      <c r="RRI1153" s="14"/>
      <c r="RRJ1153" s="14"/>
      <c r="RRK1153" s="14"/>
      <c r="RRL1153" s="14"/>
      <c r="RRM1153" s="14"/>
      <c r="RRN1153" s="14"/>
      <c r="RRO1153" s="14"/>
      <c r="RRP1153" s="14"/>
      <c r="RRQ1153" s="14"/>
      <c r="RRR1153" s="14"/>
      <c r="RRS1153" s="14"/>
      <c r="RRT1153" s="14"/>
      <c r="RRU1153" s="14"/>
      <c r="RRV1153" s="14"/>
      <c r="RRW1153" s="14"/>
      <c r="RRX1153" s="14"/>
      <c r="RRY1153" s="14"/>
      <c r="RRZ1153" s="14"/>
      <c r="RSA1153" s="14"/>
      <c r="RSB1153" s="14"/>
      <c r="RSC1153" s="14"/>
      <c r="RSD1153" s="14"/>
      <c r="RSE1153" s="14"/>
      <c r="RSF1153" s="14"/>
      <c r="RSG1153" s="14"/>
      <c r="RSH1153" s="14"/>
      <c r="RSI1153" s="14"/>
      <c r="RSJ1153" s="14"/>
      <c r="RSK1153" s="14"/>
      <c r="RSL1153" s="14"/>
      <c r="RSM1153" s="14"/>
      <c r="RSN1153" s="14"/>
      <c r="RSO1153" s="14"/>
      <c r="RSP1153" s="14"/>
      <c r="RSQ1153" s="14"/>
      <c r="RSR1153" s="14"/>
      <c r="RSS1153" s="14"/>
      <c r="RST1153" s="14"/>
      <c r="RSU1153" s="14"/>
      <c r="RSV1153" s="14"/>
      <c r="RSW1153" s="14"/>
      <c r="RSX1153" s="14"/>
      <c r="RSY1153" s="14"/>
      <c r="RSZ1153" s="14"/>
      <c r="RTA1153" s="14"/>
      <c r="RTB1153" s="14"/>
      <c r="RTC1153" s="14"/>
      <c r="RTD1153" s="14"/>
      <c r="RTE1153" s="14"/>
      <c r="RTF1153" s="14"/>
      <c r="RTG1153" s="14"/>
      <c r="RTH1153" s="14"/>
      <c r="RTI1153" s="14"/>
      <c r="RTJ1153" s="14"/>
      <c r="RTK1153" s="14"/>
      <c r="RTL1153" s="14"/>
      <c r="RTM1153" s="14"/>
      <c r="RTN1153" s="14"/>
      <c r="RTO1153" s="14"/>
      <c r="RTP1153" s="14"/>
      <c r="RTQ1153" s="14"/>
      <c r="RTR1153" s="14"/>
      <c r="RTS1153" s="14"/>
      <c r="RTT1153" s="14"/>
      <c r="RTU1153" s="14"/>
      <c r="RTV1153" s="14"/>
      <c r="RTW1153" s="14"/>
      <c r="RTX1153" s="14"/>
      <c r="RTY1153" s="14"/>
      <c r="RTZ1153" s="14"/>
      <c r="RUA1153" s="14"/>
      <c r="RUB1153" s="14"/>
      <c r="RUC1153" s="14"/>
      <c r="RUD1153" s="14"/>
      <c r="RUE1153" s="14"/>
      <c r="RUF1153" s="14"/>
      <c r="RUG1153" s="14"/>
      <c r="RUH1153" s="14"/>
      <c r="RUI1153" s="14"/>
      <c r="RUJ1153" s="14"/>
      <c r="RUK1153" s="14"/>
      <c r="RUL1153" s="14"/>
      <c r="RUM1153" s="14"/>
      <c r="RUN1153" s="14"/>
      <c r="RUO1153" s="14"/>
      <c r="RUP1153" s="14"/>
      <c r="RUQ1153" s="14"/>
      <c r="RUR1153" s="14"/>
      <c r="RUS1153" s="14"/>
      <c r="RUT1153" s="14"/>
      <c r="RUU1153" s="14"/>
      <c r="RUV1153" s="14"/>
      <c r="RUW1153" s="14"/>
      <c r="RUX1153" s="14"/>
      <c r="RUY1153" s="14"/>
      <c r="RUZ1153" s="14"/>
      <c r="RVA1153" s="14"/>
      <c r="RVB1153" s="14"/>
      <c r="RVC1153" s="14"/>
      <c r="RVD1153" s="14"/>
      <c r="RVE1153" s="14"/>
      <c r="RVF1153" s="14"/>
      <c r="RVG1153" s="14"/>
      <c r="RVH1153" s="14"/>
      <c r="RVI1153" s="14"/>
      <c r="RVJ1153" s="14"/>
      <c r="RVK1153" s="14"/>
      <c r="RVL1153" s="14"/>
      <c r="RVM1153" s="14"/>
      <c r="RVN1153" s="14"/>
      <c r="RVO1153" s="14"/>
      <c r="RVP1153" s="14"/>
      <c r="RVQ1153" s="14"/>
      <c r="RVR1153" s="14"/>
      <c r="RVS1153" s="14"/>
      <c r="RVT1153" s="14"/>
      <c r="RVU1153" s="14"/>
      <c r="RVV1153" s="14"/>
      <c r="RVW1153" s="14"/>
      <c r="RVX1153" s="14"/>
      <c r="RVY1153" s="14"/>
      <c r="RVZ1153" s="14"/>
      <c r="RWA1153" s="14"/>
      <c r="RWB1153" s="14"/>
      <c r="RWC1153" s="14"/>
      <c r="RWD1153" s="14"/>
      <c r="RWE1153" s="14"/>
      <c r="RWF1153" s="14"/>
      <c r="RWG1153" s="14"/>
      <c r="RWH1153" s="14"/>
      <c r="RWI1153" s="14"/>
      <c r="RWJ1153" s="14"/>
      <c r="RWK1153" s="14"/>
      <c r="RWL1153" s="14"/>
      <c r="RWM1153" s="14"/>
      <c r="RWN1153" s="14"/>
      <c r="RWO1153" s="14"/>
      <c r="RWP1153" s="14"/>
      <c r="RWQ1153" s="14"/>
      <c r="RWR1153" s="14"/>
      <c r="RWS1153" s="14"/>
      <c r="RWT1153" s="14"/>
      <c r="RWU1153" s="14"/>
      <c r="RWV1153" s="14"/>
      <c r="RWW1153" s="14"/>
      <c r="RWX1153" s="14"/>
      <c r="RWY1153" s="14"/>
      <c r="RWZ1153" s="14"/>
      <c r="RXA1153" s="14"/>
      <c r="RXB1153" s="14"/>
      <c r="RXC1153" s="14"/>
      <c r="RXD1153" s="14"/>
      <c r="RXE1153" s="14"/>
      <c r="RXF1153" s="14"/>
      <c r="RXG1153" s="14"/>
      <c r="RXH1153" s="14"/>
      <c r="RXI1153" s="14"/>
      <c r="RXJ1153" s="14"/>
      <c r="RXK1153" s="14"/>
      <c r="RXL1153" s="14"/>
      <c r="RXM1153" s="14"/>
      <c r="RXN1153" s="14"/>
      <c r="RXO1153" s="14"/>
      <c r="RXP1153" s="14"/>
      <c r="RXQ1153" s="14"/>
      <c r="RXR1153" s="14"/>
      <c r="RXS1153" s="14"/>
      <c r="RXT1153" s="14"/>
      <c r="RXU1153" s="14"/>
      <c r="RXV1153" s="14"/>
      <c r="RXW1153" s="14"/>
      <c r="RXX1153" s="14"/>
      <c r="RXY1153" s="14"/>
      <c r="RXZ1153" s="14"/>
      <c r="RYA1153" s="14"/>
      <c r="RYB1153" s="14"/>
      <c r="RYC1153" s="14"/>
      <c r="RYD1153" s="14"/>
      <c r="RYE1153" s="14"/>
      <c r="RYF1153" s="14"/>
      <c r="RYG1153" s="14"/>
      <c r="RYH1153" s="14"/>
      <c r="RYI1153" s="14"/>
      <c r="RYJ1153" s="14"/>
      <c r="RYK1153" s="14"/>
      <c r="RYL1153" s="14"/>
      <c r="RYM1153" s="14"/>
      <c r="RYN1153" s="14"/>
      <c r="RYO1153" s="14"/>
      <c r="RYP1153" s="14"/>
      <c r="RYQ1153" s="14"/>
      <c r="RYR1153" s="14"/>
      <c r="RYS1153" s="14"/>
      <c r="RYT1153" s="14"/>
      <c r="RYU1153" s="14"/>
      <c r="RYV1153" s="14"/>
      <c r="RYW1153" s="14"/>
      <c r="RYX1153" s="14"/>
      <c r="RYY1153" s="14"/>
      <c r="RYZ1153" s="14"/>
      <c r="RZA1153" s="14"/>
      <c r="RZB1153" s="14"/>
      <c r="RZC1153" s="14"/>
      <c r="RZD1153" s="14"/>
      <c r="RZE1153" s="14"/>
      <c r="RZF1153" s="14"/>
      <c r="RZG1153" s="14"/>
      <c r="RZH1153" s="14"/>
      <c r="RZI1153" s="14"/>
      <c r="RZJ1153" s="14"/>
      <c r="RZK1153" s="14"/>
      <c r="RZL1153" s="14"/>
      <c r="RZM1153" s="14"/>
      <c r="RZN1153" s="14"/>
      <c r="RZO1153" s="14"/>
      <c r="RZP1153" s="14"/>
      <c r="RZQ1153" s="14"/>
      <c r="RZR1153" s="14"/>
      <c r="RZS1153" s="14"/>
      <c r="RZT1153" s="14"/>
      <c r="RZU1153" s="14"/>
      <c r="RZV1153" s="14"/>
      <c r="RZW1153" s="14"/>
      <c r="RZX1153" s="14"/>
      <c r="RZY1153" s="14"/>
      <c r="RZZ1153" s="14"/>
      <c r="SAA1153" s="14"/>
      <c r="SAB1153" s="14"/>
      <c r="SAC1153" s="14"/>
      <c r="SAD1153" s="14"/>
      <c r="SAE1153" s="14"/>
      <c r="SAF1153" s="14"/>
      <c r="SAG1153" s="14"/>
      <c r="SAH1153" s="14"/>
      <c r="SAI1153" s="14"/>
      <c r="SAJ1153" s="14"/>
      <c r="SAK1153" s="14"/>
      <c r="SAL1153" s="14"/>
      <c r="SAM1153" s="14"/>
      <c r="SAN1153" s="14"/>
      <c r="SAO1153" s="14"/>
      <c r="SAP1153" s="14"/>
      <c r="SAQ1153" s="14"/>
      <c r="SAR1153" s="14"/>
      <c r="SAS1153" s="14"/>
      <c r="SAT1153" s="14"/>
      <c r="SAU1153" s="14"/>
      <c r="SAV1153" s="14"/>
      <c r="SAW1153" s="14"/>
      <c r="SAX1153" s="14"/>
      <c r="SAY1153" s="14"/>
      <c r="SAZ1153" s="14"/>
      <c r="SBA1153" s="14"/>
      <c r="SBB1153" s="14"/>
      <c r="SBC1153" s="14"/>
      <c r="SBD1153" s="14"/>
      <c r="SBE1153" s="14"/>
      <c r="SBF1153" s="14"/>
      <c r="SBG1153" s="14"/>
      <c r="SBH1153" s="14"/>
      <c r="SBI1153" s="14"/>
      <c r="SBJ1153" s="14"/>
      <c r="SBK1153" s="14"/>
      <c r="SBL1153" s="14"/>
      <c r="SBM1153" s="14"/>
      <c r="SBN1153" s="14"/>
      <c r="SBO1153" s="14"/>
      <c r="SBP1153" s="14"/>
      <c r="SBQ1153" s="14"/>
      <c r="SBR1153" s="14"/>
      <c r="SBS1153" s="14"/>
      <c r="SBT1153" s="14"/>
      <c r="SBU1153" s="14"/>
      <c r="SBV1153" s="14"/>
      <c r="SBW1153" s="14"/>
      <c r="SBX1153" s="14"/>
      <c r="SBY1153" s="14"/>
      <c r="SBZ1153" s="14"/>
      <c r="SCA1153" s="14"/>
      <c r="SCB1153" s="14"/>
      <c r="SCC1153" s="14"/>
      <c r="SCD1153" s="14"/>
      <c r="SCE1153" s="14"/>
      <c r="SCF1153" s="14"/>
      <c r="SCG1153" s="14"/>
      <c r="SCH1153" s="14"/>
      <c r="SCI1153" s="14"/>
      <c r="SCJ1153" s="14"/>
      <c r="SCK1153" s="14"/>
      <c r="SCL1153" s="14"/>
      <c r="SCM1153" s="14"/>
      <c r="SCN1153" s="14"/>
      <c r="SCO1153" s="14"/>
      <c r="SCP1153" s="14"/>
      <c r="SCQ1153" s="14"/>
      <c r="SCR1153" s="14"/>
      <c r="SCS1153" s="14"/>
      <c r="SCT1153" s="14"/>
      <c r="SCU1153" s="14"/>
      <c r="SCV1153" s="14"/>
      <c r="SCW1153" s="14"/>
      <c r="SCX1153" s="14"/>
      <c r="SCY1153" s="14"/>
      <c r="SCZ1153" s="14"/>
      <c r="SDA1153" s="14"/>
      <c r="SDB1153" s="14"/>
      <c r="SDC1153" s="14"/>
      <c r="SDD1153" s="14"/>
      <c r="SDE1153" s="14"/>
      <c r="SDF1153" s="14"/>
      <c r="SDG1153" s="14"/>
      <c r="SDH1153" s="14"/>
      <c r="SDI1153" s="14"/>
      <c r="SDJ1153" s="14"/>
      <c r="SDK1153" s="14"/>
      <c r="SDL1153" s="14"/>
      <c r="SDM1153" s="14"/>
      <c r="SDN1153" s="14"/>
      <c r="SDO1153" s="14"/>
      <c r="SDP1153" s="14"/>
      <c r="SDQ1153" s="14"/>
      <c r="SDR1153" s="14"/>
      <c r="SDS1153" s="14"/>
      <c r="SDT1153" s="14"/>
      <c r="SDU1153" s="14"/>
      <c r="SDV1153" s="14"/>
      <c r="SDW1153" s="14"/>
      <c r="SDX1153" s="14"/>
      <c r="SDY1153" s="14"/>
      <c r="SDZ1153" s="14"/>
      <c r="SEA1153" s="14"/>
      <c r="SEB1153" s="14"/>
      <c r="SEC1153" s="14"/>
      <c r="SED1153" s="14"/>
      <c r="SEE1153" s="14"/>
      <c r="SEF1153" s="14"/>
      <c r="SEG1153" s="14"/>
      <c r="SEH1153" s="14"/>
      <c r="SEI1153" s="14"/>
      <c r="SEJ1153" s="14"/>
      <c r="SEK1153" s="14"/>
      <c r="SEL1153" s="14"/>
      <c r="SEM1153" s="14"/>
      <c r="SEN1153" s="14"/>
      <c r="SEO1153" s="14"/>
      <c r="SEP1153" s="14"/>
      <c r="SEQ1153" s="14"/>
      <c r="SER1153" s="14"/>
      <c r="SES1153" s="14"/>
      <c r="SET1153" s="14"/>
      <c r="SEU1153" s="14"/>
      <c r="SEV1153" s="14"/>
      <c r="SEW1153" s="14"/>
      <c r="SEX1153" s="14"/>
      <c r="SEY1153" s="14"/>
      <c r="SEZ1153" s="14"/>
      <c r="SFA1153" s="14"/>
      <c r="SFB1153" s="14"/>
      <c r="SFC1153" s="14"/>
      <c r="SFD1153" s="14"/>
      <c r="SFE1153" s="14"/>
      <c r="SFF1153" s="14"/>
      <c r="SFG1153" s="14"/>
      <c r="SFH1153" s="14"/>
      <c r="SFI1153" s="14"/>
      <c r="SFJ1153" s="14"/>
      <c r="SFK1153" s="14"/>
      <c r="SFL1153" s="14"/>
      <c r="SFM1153" s="14"/>
      <c r="SFN1153" s="14"/>
      <c r="SFO1153" s="14"/>
      <c r="SFP1153" s="14"/>
      <c r="SFQ1153" s="14"/>
      <c r="SFR1153" s="14"/>
      <c r="SFS1153" s="14"/>
      <c r="SFT1153" s="14"/>
      <c r="SFU1153" s="14"/>
      <c r="SFV1153" s="14"/>
      <c r="SFW1153" s="14"/>
      <c r="SFX1153" s="14"/>
      <c r="SFY1153" s="14"/>
      <c r="SFZ1153" s="14"/>
      <c r="SGA1153" s="14"/>
      <c r="SGB1153" s="14"/>
      <c r="SGC1153" s="14"/>
      <c r="SGD1153" s="14"/>
      <c r="SGE1153" s="14"/>
      <c r="SGF1153" s="14"/>
      <c r="SGG1153" s="14"/>
      <c r="SGH1153" s="14"/>
      <c r="SGI1153" s="14"/>
      <c r="SGJ1153" s="14"/>
      <c r="SGK1153" s="14"/>
      <c r="SGL1153" s="14"/>
      <c r="SGM1153" s="14"/>
      <c r="SGN1153" s="14"/>
      <c r="SGO1153" s="14"/>
      <c r="SGP1153" s="14"/>
      <c r="SGQ1153" s="14"/>
      <c r="SGR1153" s="14"/>
      <c r="SGS1153" s="14"/>
      <c r="SGT1153" s="14"/>
      <c r="SGU1153" s="14"/>
      <c r="SGV1153" s="14"/>
      <c r="SGW1153" s="14"/>
      <c r="SGX1153" s="14"/>
      <c r="SGY1153" s="14"/>
      <c r="SGZ1153" s="14"/>
      <c r="SHA1153" s="14"/>
      <c r="SHB1153" s="14"/>
      <c r="SHC1153" s="14"/>
      <c r="SHD1153" s="14"/>
      <c r="SHE1153" s="14"/>
      <c r="SHF1153" s="14"/>
      <c r="SHG1153" s="14"/>
      <c r="SHH1153" s="14"/>
      <c r="SHI1153" s="14"/>
      <c r="SHJ1153" s="14"/>
      <c r="SHK1153" s="14"/>
      <c r="SHL1153" s="14"/>
      <c r="SHM1153" s="14"/>
      <c r="SHN1153" s="14"/>
      <c r="SHO1153" s="14"/>
      <c r="SHP1153" s="14"/>
      <c r="SHQ1153" s="14"/>
      <c r="SHR1153" s="14"/>
      <c r="SHS1153" s="14"/>
      <c r="SHT1153" s="14"/>
      <c r="SHU1153" s="14"/>
      <c r="SHV1153" s="14"/>
      <c r="SHW1153" s="14"/>
      <c r="SHX1153" s="14"/>
      <c r="SHY1153" s="14"/>
      <c r="SHZ1153" s="14"/>
      <c r="SIA1153" s="14"/>
      <c r="SIB1153" s="14"/>
      <c r="SIC1153" s="14"/>
      <c r="SID1153" s="14"/>
      <c r="SIE1153" s="14"/>
      <c r="SIF1153" s="14"/>
      <c r="SIG1153" s="14"/>
      <c r="SIH1153" s="14"/>
      <c r="SII1153" s="14"/>
      <c r="SIJ1153" s="14"/>
      <c r="SIK1153" s="14"/>
      <c r="SIL1153" s="14"/>
      <c r="SIM1153" s="14"/>
      <c r="SIN1153" s="14"/>
      <c r="SIO1153" s="14"/>
      <c r="SIP1153" s="14"/>
      <c r="SIQ1153" s="14"/>
      <c r="SIR1153" s="14"/>
      <c r="SIS1153" s="14"/>
      <c r="SIT1153" s="14"/>
      <c r="SIU1153" s="14"/>
      <c r="SIV1153" s="14"/>
      <c r="SIW1153" s="14"/>
      <c r="SIX1153" s="14"/>
      <c r="SIY1153" s="14"/>
      <c r="SIZ1153" s="14"/>
      <c r="SJA1153" s="14"/>
      <c r="SJB1153" s="14"/>
      <c r="SJC1153" s="14"/>
      <c r="SJD1153" s="14"/>
      <c r="SJE1153" s="14"/>
      <c r="SJF1153" s="14"/>
      <c r="SJG1153" s="14"/>
      <c r="SJH1153" s="14"/>
      <c r="SJI1153" s="14"/>
      <c r="SJJ1153" s="14"/>
      <c r="SJK1153" s="14"/>
      <c r="SJL1153" s="14"/>
      <c r="SJM1153" s="14"/>
      <c r="SJN1153" s="14"/>
      <c r="SJO1153" s="14"/>
      <c r="SJP1153" s="14"/>
      <c r="SJQ1153" s="14"/>
      <c r="SJR1153" s="14"/>
      <c r="SJS1153" s="14"/>
      <c r="SJT1153" s="14"/>
      <c r="SJU1153" s="14"/>
      <c r="SJV1153" s="14"/>
      <c r="SJW1153" s="14"/>
      <c r="SJX1153" s="14"/>
      <c r="SJY1153" s="14"/>
      <c r="SJZ1153" s="14"/>
      <c r="SKA1153" s="14"/>
      <c r="SKB1153" s="14"/>
      <c r="SKC1153" s="14"/>
      <c r="SKD1153" s="14"/>
      <c r="SKE1153" s="14"/>
      <c r="SKF1153" s="14"/>
      <c r="SKG1153" s="14"/>
      <c r="SKH1153" s="14"/>
      <c r="SKI1153" s="14"/>
      <c r="SKJ1153" s="14"/>
      <c r="SKK1153" s="14"/>
      <c r="SKL1153" s="14"/>
      <c r="SKM1153" s="14"/>
      <c r="SKN1153" s="14"/>
      <c r="SKO1153" s="14"/>
      <c r="SKP1153" s="14"/>
      <c r="SKQ1153" s="14"/>
      <c r="SKR1153" s="14"/>
      <c r="SKS1153" s="14"/>
      <c r="SKT1153" s="14"/>
      <c r="SKU1153" s="14"/>
      <c r="SKV1153" s="14"/>
      <c r="SKW1153" s="14"/>
      <c r="SKX1153" s="14"/>
      <c r="SKY1153" s="14"/>
      <c r="SKZ1153" s="14"/>
      <c r="SLA1153" s="14"/>
      <c r="SLB1153" s="14"/>
      <c r="SLC1153" s="14"/>
      <c r="SLD1153" s="14"/>
      <c r="SLE1153" s="14"/>
      <c r="SLF1153" s="14"/>
      <c r="SLG1153" s="14"/>
      <c r="SLH1153" s="14"/>
      <c r="SLI1153" s="14"/>
      <c r="SLJ1153" s="14"/>
      <c r="SLK1153" s="14"/>
      <c r="SLL1153" s="14"/>
      <c r="SLM1153" s="14"/>
      <c r="SLN1153" s="14"/>
      <c r="SLO1153" s="14"/>
      <c r="SLP1153" s="14"/>
      <c r="SLQ1153" s="14"/>
      <c r="SLR1153" s="14"/>
      <c r="SLS1153" s="14"/>
      <c r="SLT1153" s="14"/>
      <c r="SLU1153" s="14"/>
      <c r="SLV1153" s="14"/>
      <c r="SLW1153" s="14"/>
      <c r="SLX1153" s="14"/>
      <c r="SLY1153" s="14"/>
      <c r="SLZ1153" s="14"/>
      <c r="SMA1153" s="14"/>
      <c r="SMB1153" s="14"/>
      <c r="SMC1153" s="14"/>
      <c r="SMD1153" s="14"/>
      <c r="SME1153" s="14"/>
      <c r="SMF1153" s="14"/>
      <c r="SMG1153" s="14"/>
      <c r="SMH1153" s="14"/>
      <c r="SMI1153" s="14"/>
      <c r="SMJ1153" s="14"/>
      <c r="SMK1153" s="14"/>
      <c r="SML1153" s="14"/>
      <c r="SMM1153" s="14"/>
      <c r="SMN1153" s="14"/>
      <c r="SMO1153" s="14"/>
      <c r="SMP1153" s="14"/>
      <c r="SMQ1153" s="14"/>
      <c r="SMR1153" s="14"/>
      <c r="SMS1153" s="14"/>
      <c r="SMT1153" s="14"/>
      <c r="SMU1153" s="14"/>
      <c r="SMV1153" s="14"/>
      <c r="SMW1153" s="14"/>
      <c r="SMX1153" s="14"/>
      <c r="SMY1153" s="14"/>
      <c r="SMZ1153" s="14"/>
      <c r="SNA1153" s="14"/>
      <c r="SNB1153" s="14"/>
      <c r="SNC1153" s="14"/>
      <c r="SND1153" s="14"/>
      <c r="SNE1153" s="14"/>
      <c r="SNF1153" s="14"/>
      <c r="SNG1153" s="14"/>
      <c r="SNH1153" s="14"/>
      <c r="SNI1153" s="14"/>
      <c r="SNJ1153" s="14"/>
      <c r="SNK1153" s="14"/>
      <c r="SNL1153" s="14"/>
      <c r="SNM1153" s="14"/>
      <c r="SNN1153" s="14"/>
      <c r="SNO1153" s="14"/>
      <c r="SNP1153" s="14"/>
      <c r="SNQ1153" s="14"/>
      <c r="SNR1153" s="14"/>
      <c r="SNS1153" s="14"/>
      <c r="SNT1153" s="14"/>
      <c r="SNU1153" s="14"/>
      <c r="SNV1153" s="14"/>
      <c r="SNW1153" s="14"/>
      <c r="SNX1153" s="14"/>
      <c r="SNY1153" s="14"/>
      <c r="SNZ1153" s="14"/>
      <c r="SOA1153" s="14"/>
      <c r="SOB1153" s="14"/>
      <c r="SOC1153" s="14"/>
      <c r="SOD1153" s="14"/>
      <c r="SOE1153" s="14"/>
      <c r="SOF1153" s="14"/>
      <c r="SOG1153" s="14"/>
      <c r="SOH1153" s="14"/>
      <c r="SOI1153" s="14"/>
      <c r="SOJ1153" s="14"/>
      <c r="SOK1153" s="14"/>
      <c r="SOL1153" s="14"/>
      <c r="SOM1153" s="14"/>
      <c r="SON1153" s="14"/>
      <c r="SOO1153" s="14"/>
      <c r="SOP1153" s="14"/>
      <c r="SOQ1153" s="14"/>
      <c r="SOR1153" s="14"/>
      <c r="SOS1153" s="14"/>
      <c r="SOT1153" s="14"/>
      <c r="SOU1153" s="14"/>
      <c r="SOV1153" s="14"/>
      <c r="SOW1153" s="14"/>
      <c r="SOX1153" s="14"/>
      <c r="SOY1153" s="14"/>
      <c r="SOZ1153" s="14"/>
      <c r="SPA1153" s="14"/>
      <c r="SPB1153" s="14"/>
      <c r="SPC1153" s="14"/>
      <c r="SPD1153" s="14"/>
      <c r="SPE1153" s="14"/>
      <c r="SPF1153" s="14"/>
      <c r="SPG1153" s="14"/>
      <c r="SPH1153" s="14"/>
      <c r="SPI1153" s="14"/>
      <c r="SPJ1153" s="14"/>
      <c r="SPK1153" s="14"/>
      <c r="SPL1153" s="14"/>
      <c r="SPM1153" s="14"/>
      <c r="SPN1153" s="14"/>
      <c r="SPO1153" s="14"/>
      <c r="SPP1153" s="14"/>
      <c r="SPQ1153" s="14"/>
      <c r="SPR1153" s="14"/>
      <c r="SPS1153" s="14"/>
      <c r="SPT1153" s="14"/>
      <c r="SPU1153" s="14"/>
      <c r="SPV1153" s="14"/>
      <c r="SPW1153" s="14"/>
      <c r="SPX1153" s="14"/>
      <c r="SPY1153" s="14"/>
      <c r="SPZ1153" s="14"/>
      <c r="SQA1153" s="14"/>
      <c r="SQB1153" s="14"/>
      <c r="SQC1153" s="14"/>
      <c r="SQD1153" s="14"/>
      <c r="SQE1153" s="14"/>
      <c r="SQF1153" s="14"/>
      <c r="SQG1153" s="14"/>
      <c r="SQH1153" s="14"/>
      <c r="SQI1153" s="14"/>
      <c r="SQJ1153" s="14"/>
      <c r="SQK1153" s="14"/>
      <c r="SQL1153" s="14"/>
      <c r="SQM1153" s="14"/>
      <c r="SQN1153" s="14"/>
      <c r="SQO1153" s="14"/>
      <c r="SQP1153" s="14"/>
      <c r="SQQ1153" s="14"/>
      <c r="SQR1153" s="14"/>
      <c r="SQS1153" s="14"/>
      <c r="SQT1153" s="14"/>
      <c r="SQU1153" s="14"/>
      <c r="SQV1153" s="14"/>
      <c r="SQW1153" s="14"/>
      <c r="SQX1153" s="14"/>
      <c r="SQY1153" s="14"/>
      <c r="SQZ1153" s="14"/>
      <c r="SRA1153" s="14"/>
      <c r="SRB1153" s="14"/>
      <c r="SRC1153" s="14"/>
      <c r="SRD1153" s="14"/>
      <c r="SRE1153" s="14"/>
      <c r="SRF1153" s="14"/>
      <c r="SRG1153" s="14"/>
      <c r="SRH1153" s="14"/>
      <c r="SRI1153" s="14"/>
      <c r="SRJ1153" s="14"/>
      <c r="SRK1153" s="14"/>
      <c r="SRL1153" s="14"/>
      <c r="SRM1153" s="14"/>
      <c r="SRN1153" s="14"/>
      <c r="SRO1153" s="14"/>
      <c r="SRP1153" s="14"/>
      <c r="SRQ1153" s="14"/>
      <c r="SRR1153" s="14"/>
      <c r="SRS1153" s="14"/>
      <c r="SRT1153" s="14"/>
      <c r="SRU1153" s="14"/>
      <c r="SRV1153" s="14"/>
      <c r="SRW1153" s="14"/>
      <c r="SRX1153" s="14"/>
      <c r="SRY1153" s="14"/>
      <c r="SRZ1153" s="14"/>
      <c r="SSA1153" s="14"/>
      <c r="SSB1153" s="14"/>
      <c r="SSC1153" s="14"/>
      <c r="SSD1153" s="14"/>
      <c r="SSE1153" s="14"/>
      <c r="SSF1153" s="14"/>
      <c r="SSG1153" s="14"/>
      <c r="SSH1153" s="14"/>
      <c r="SSI1153" s="14"/>
      <c r="SSJ1153" s="14"/>
      <c r="SSK1153" s="14"/>
      <c r="SSL1153" s="14"/>
      <c r="SSM1153" s="14"/>
      <c r="SSN1153" s="14"/>
      <c r="SSO1153" s="14"/>
      <c r="SSP1153" s="14"/>
      <c r="SSQ1153" s="14"/>
      <c r="SSR1153" s="14"/>
      <c r="SSS1153" s="14"/>
      <c r="SST1153" s="14"/>
      <c r="SSU1153" s="14"/>
      <c r="SSV1153" s="14"/>
      <c r="SSW1153" s="14"/>
      <c r="SSX1153" s="14"/>
      <c r="SSY1153" s="14"/>
      <c r="SSZ1153" s="14"/>
      <c r="STA1153" s="14"/>
      <c r="STB1153" s="14"/>
      <c r="STC1153" s="14"/>
      <c r="STD1153" s="14"/>
      <c r="STE1153" s="14"/>
      <c r="STF1153" s="14"/>
      <c r="STG1153" s="14"/>
      <c r="STH1153" s="14"/>
      <c r="STI1153" s="14"/>
      <c r="STJ1153" s="14"/>
      <c r="STK1153" s="14"/>
      <c r="STL1153" s="14"/>
      <c r="STM1153" s="14"/>
      <c r="STN1153" s="14"/>
      <c r="STO1153" s="14"/>
      <c r="STP1153" s="14"/>
      <c r="STQ1153" s="14"/>
      <c r="STR1153" s="14"/>
      <c r="STS1153" s="14"/>
      <c r="STT1153" s="14"/>
      <c r="STU1153" s="14"/>
      <c r="STV1153" s="14"/>
      <c r="STW1153" s="14"/>
      <c r="STX1153" s="14"/>
      <c r="STY1153" s="14"/>
      <c r="STZ1153" s="14"/>
      <c r="SUA1153" s="14"/>
      <c r="SUB1153" s="14"/>
      <c r="SUC1153" s="14"/>
      <c r="SUD1153" s="14"/>
      <c r="SUE1153" s="14"/>
      <c r="SUF1153" s="14"/>
      <c r="SUG1153" s="14"/>
      <c r="SUH1153" s="14"/>
      <c r="SUI1153" s="14"/>
      <c r="SUJ1153" s="14"/>
      <c r="SUK1153" s="14"/>
      <c r="SUL1153" s="14"/>
      <c r="SUM1153" s="14"/>
      <c r="SUN1153" s="14"/>
      <c r="SUO1153" s="14"/>
      <c r="SUP1153" s="14"/>
      <c r="SUQ1153" s="14"/>
      <c r="SUR1153" s="14"/>
      <c r="SUS1153" s="14"/>
      <c r="SUT1153" s="14"/>
      <c r="SUU1153" s="14"/>
      <c r="SUV1153" s="14"/>
      <c r="SUW1153" s="14"/>
      <c r="SUX1153" s="14"/>
      <c r="SUY1153" s="14"/>
      <c r="SUZ1153" s="14"/>
      <c r="SVA1153" s="14"/>
      <c r="SVB1153" s="14"/>
      <c r="SVC1153" s="14"/>
      <c r="SVD1153" s="14"/>
      <c r="SVE1153" s="14"/>
      <c r="SVF1153" s="14"/>
      <c r="SVG1153" s="14"/>
      <c r="SVH1153" s="14"/>
      <c r="SVI1153" s="14"/>
      <c r="SVJ1153" s="14"/>
      <c r="SVK1153" s="14"/>
      <c r="SVL1153" s="14"/>
      <c r="SVM1153" s="14"/>
      <c r="SVN1153" s="14"/>
      <c r="SVO1153" s="14"/>
      <c r="SVP1153" s="14"/>
      <c r="SVQ1153" s="14"/>
      <c r="SVR1153" s="14"/>
      <c r="SVS1153" s="14"/>
      <c r="SVT1153" s="14"/>
      <c r="SVU1153" s="14"/>
      <c r="SVV1153" s="14"/>
      <c r="SVW1153" s="14"/>
      <c r="SVX1153" s="14"/>
      <c r="SVY1153" s="14"/>
      <c r="SVZ1153" s="14"/>
      <c r="SWA1153" s="14"/>
      <c r="SWB1153" s="14"/>
      <c r="SWC1153" s="14"/>
      <c r="SWD1153" s="14"/>
      <c r="SWE1153" s="14"/>
      <c r="SWF1153" s="14"/>
      <c r="SWG1153" s="14"/>
      <c r="SWH1153" s="14"/>
      <c r="SWI1153" s="14"/>
      <c r="SWJ1153" s="14"/>
      <c r="SWK1153" s="14"/>
      <c r="SWL1153" s="14"/>
      <c r="SWM1153" s="14"/>
      <c r="SWN1153" s="14"/>
      <c r="SWO1153" s="14"/>
      <c r="SWP1153" s="14"/>
      <c r="SWQ1153" s="14"/>
      <c r="SWR1153" s="14"/>
      <c r="SWS1153" s="14"/>
      <c r="SWT1153" s="14"/>
      <c r="SWU1153" s="14"/>
      <c r="SWV1153" s="14"/>
      <c r="SWW1153" s="14"/>
      <c r="SWX1153" s="14"/>
      <c r="SWY1153" s="14"/>
      <c r="SWZ1153" s="14"/>
      <c r="SXA1153" s="14"/>
      <c r="SXB1153" s="14"/>
      <c r="SXC1153" s="14"/>
      <c r="SXD1153" s="14"/>
      <c r="SXE1153" s="14"/>
      <c r="SXF1153" s="14"/>
      <c r="SXG1153" s="14"/>
      <c r="SXH1153" s="14"/>
      <c r="SXI1153" s="14"/>
      <c r="SXJ1153" s="14"/>
      <c r="SXK1153" s="14"/>
      <c r="SXL1153" s="14"/>
      <c r="SXM1153" s="14"/>
      <c r="SXN1153" s="14"/>
      <c r="SXO1153" s="14"/>
      <c r="SXP1153" s="14"/>
      <c r="SXQ1153" s="14"/>
      <c r="SXR1153" s="14"/>
      <c r="SXS1153" s="14"/>
      <c r="SXT1153" s="14"/>
      <c r="SXU1153" s="14"/>
      <c r="SXV1153" s="14"/>
      <c r="SXW1153" s="14"/>
      <c r="SXX1153" s="14"/>
      <c r="SXY1153" s="14"/>
      <c r="SXZ1153" s="14"/>
      <c r="SYA1153" s="14"/>
      <c r="SYB1153" s="14"/>
      <c r="SYC1153" s="14"/>
      <c r="SYD1153" s="14"/>
      <c r="SYE1153" s="14"/>
      <c r="SYF1153" s="14"/>
      <c r="SYG1153" s="14"/>
      <c r="SYH1153" s="14"/>
      <c r="SYI1153" s="14"/>
      <c r="SYJ1153" s="14"/>
      <c r="SYK1153" s="14"/>
      <c r="SYL1153" s="14"/>
      <c r="SYM1153" s="14"/>
      <c r="SYN1153" s="14"/>
      <c r="SYO1153" s="14"/>
      <c r="SYP1153" s="14"/>
      <c r="SYQ1153" s="14"/>
      <c r="SYR1153" s="14"/>
      <c r="SYS1153" s="14"/>
      <c r="SYT1153" s="14"/>
      <c r="SYU1153" s="14"/>
      <c r="SYV1153" s="14"/>
      <c r="SYW1153" s="14"/>
      <c r="SYX1153" s="14"/>
      <c r="SYY1153" s="14"/>
      <c r="SYZ1153" s="14"/>
      <c r="SZA1153" s="14"/>
      <c r="SZB1153" s="14"/>
      <c r="SZC1153" s="14"/>
      <c r="SZD1153" s="14"/>
      <c r="SZE1153" s="14"/>
      <c r="SZF1153" s="14"/>
      <c r="SZG1153" s="14"/>
      <c r="SZH1153" s="14"/>
      <c r="SZI1153" s="14"/>
      <c r="SZJ1153" s="14"/>
      <c r="SZK1153" s="14"/>
      <c r="SZL1153" s="14"/>
      <c r="SZM1153" s="14"/>
      <c r="SZN1153" s="14"/>
      <c r="SZO1153" s="14"/>
      <c r="SZP1153" s="14"/>
      <c r="SZQ1153" s="14"/>
      <c r="SZR1153" s="14"/>
      <c r="SZS1153" s="14"/>
      <c r="SZT1153" s="14"/>
      <c r="SZU1153" s="14"/>
      <c r="SZV1153" s="14"/>
      <c r="SZW1153" s="14"/>
      <c r="SZX1153" s="14"/>
      <c r="SZY1153" s="14"/>
      <c r="SZZ1153" s="14"/>
      <c r="TAA1153" s="14"/>
      <c r="TAB1153" s="14"/>
      <c r="TAC1153" s="14"/>
      <c r="TAD1153" s="14"/>
      <c r="TAE1153" s="14"/>
      <c r="TAF1153" s="14"/>
      <c r="TAG1153" s="14"/>
      <c r="TAH1153" s="14"/>
      <c r="TAI1153" s="14"/>
      <c r="TAJ1153" s="14"/>
      <c r="TAK1153" s="14"/>
      <c r="TAL1153" s="14"/>
      <c r="TAM1153" s="14"/>
      <c r="TAN1153" s="14"/>
      <c r="TAO1153" s="14"/>
      <c r="TAP1153" s="14"/>
      <c r="TAQ1153" s="14"/>
      <c r="TAR1153" s="14"/>
      <c r="TAS1153" s="14"/>
      <c r="TAT1153" s="14"/>
      <c r="TAU1153" s="14"/>
      <c r="TAV1153" s="14"/>
      <c r="TAW1153" s="14"/>
      <c r="TAX1153" s="14"/>
      <c r="TAY1153" s="14"/>
      <c r="TAZ1153" s="14"/>
      <c r="TBA1153" s="14"/>
      <c r="TBB1153" s="14"/>
      <c r="TBC1153" s="14"/>
      <c r="TBD1153" s="14"/>
      <c r="TBE1153" s="14"/>
      <c r="TBF1153" s="14"/>
      <c r="TBG1153" s="14"/>
      <c r="TBH1153" s="14"/>
      <c r="TBI1153" s="14"/>
      <c r="TBJ1153" s="14"/>
      <c r="TBK1153" s="14"/>
      <c r="TBL1153" s="14"/>
      <c r="TBM1153" s="14"/>
      <c r="TBN1153" s="14"/>
      <c r="TBO1153" s="14"/>
      <c r="TBP1153" s="14"/>
      <c r="TBQ1153" s="14"/>
      <c r="TBR1153" s="14"/>
      <c r="TBS1153" s="14"/>
      <c r="TBT1153" s="14"/>
      <c r="TBU1153" s="14"/>
      <c r="TBV1153" s="14"/>
      <c r="TBW1153" s="14"/>
      <c r="TBX1153" s="14"/>
      <c r="TBY1153" s="14"/>
      <c r="TBZ1153" s="14"/>
      <c r="TCA1153" s="14"/>
      <c r="TCB1153" s="14"/>
      <c r="TCC1153" s="14"/>
      <c r="TCD1153" s="14"/>
      <c r="TCE1153" s="14"/>
      <c r="TCF1153" s="14"/>
      <c r="TCG1153" s="14"/>
      <c r="TCH1153" s="14"/>
      <c r="TCI1153" s="14"/>
      <c r="TCJ1153" s="14"/>
      <c r="TCK1153" s="14"/>
      <c r="TCL1153" s="14"/>
      <c r="TCM1153" s="14"/>
      <c r="TCN1153" s="14"/>
      <c r="TCO1153" s="14"/>
      <c r="TCP1153" s="14"/>
      <c r="TCQ1153" s="14"/>
      <c r="TCR1153" s="14"/>
      <c r="TCS1153" s="14"/>
      <c r="TCT1153" s="14"/>
      <c r="TCU1153" s="14"/>
      <c r="TCV1153" s="14"/>
      <c r="TCW1153" s="14"/>
      <c r="TCX1153" s="14"/>
      <c r="TCY1153" s="14"/>
      <c r="TCZ1153" s="14"/>
      <c r="TDA1153" s="14"/>
      <c r="TDB1153" s="14"/>
      <c r="TDC1153" s="14"/>
      <c r="TDD1153" s="14"/>
      <c r="TDE1153" s="14"/>
      <c r="TDF1153" s="14"/>
      <c r="TDG1153" s="14"/>
      <c r="TDH1153" s="14"/>
      <c r="TDI1153" s="14"/>
      <c r="TDJ1153" s="14"/>
      <c r="TDK1153" s="14"/>
      <c r="TDL1153" s="14"/>
      <c r="TDM1153" s="14"/>
      <c r="TDN1153" s="14"/>
      <c r="TDO1153" s="14"/>
      <c r="TDP1153" s="14"/>
      <c r="TDQ1153" s="14"/>
      <c r="TDR1153" s="14"/>
      <c r="TDS1153" s="14"/>
      <c r="TDT1153" s="14"/>
      <c r="TDU1153" s="14"/>
      <c r="TDV1153" s="14"/>
      <c r="TDW1153" s="14"/>
      <c r="TDX1153" s="14"/>
      <c r="TDY1153" s="14"/>
      <c r="TDZ1153" s="14"/>
      <c r="TEA1153" s="14"/>
      <c r="TEB1153" s="14"/>
      <c r="TEC1153" s="14"/>
      <c r="TED1153" s="14"/>
      <c r="TEE1153" s="14"/>
      <c r="TEF1153" s="14"/>
      <c r="TEG1153" s="14"/>
      <c r="TEH1153" s="14"/>
      <c r="TEI1153" s="14"/>
      <c r="TEJ1153" s="14"/>
      <c r="TEK1153" s="14"/>
      <c r="TEL1153" s="14"/>
      <c r="TEM1153" s="14"/>
      <c r="TEN1153" s="14"/>
      <c r="TEO1153" s="14"/>
      <c r="TEP1153" s="14"/>
      <c r="TEQ1153" s="14"/>
      <c r="TER1153" s="14"/>
      <c r="TES1153" s="14"/>
      <c r="TET1153" s="14"/>
      <c r="TEU1153" s="14"/>
      <c r="TEV1153" s="14"/>
      <c r="TEW1153" s="14"/>
      <c r="TEX1153" s="14"/>
      <c r="TEY1153" s="14"/>
      <c r="TEZ1153" s="14"/>
      <c r="TFA1153" s="14"/>
      <c r="TFB1153" s="14"/>
      <c r="TFC1153" s="14"/>
      <c r="TFD1153" s="14"/>
      <c r="TFE1153" s="14"/>
      <c r="TFF1153" s="14"/>
      <c r="TFG1153" s="14"/>
      <c r="TFH1153" s="14"/>
      <c r="TFI1153" s="14"/>
      <c r="TFJ1153" s="14"/>
      <c r="TFK1153" s="14"/>
      <c r="TFL1153" s="14"/>
      <c r="TFM1153" s="14"/>
      <c r="TFN1153" s="14"/>
      <c r="TFO1153" s="14"/>
      <c r="TFP1153" s="14"/>
      <c r="TFQ1153" s="14"/>
      <c r="TFR1153" s="14"/>
      <c r="TFS1153" s="14"/>
      <c r="TFT1153" s="14"/>
      <c r="TFU1153" s="14"/>
      <c r="TFV1153" s="14"/>
      <c r="TFW1153" s="14"/>
      <c r="TFX1153" s="14"/>
      <c r="TFY1153" s="14"/>
      <c r="TFZ1153" s="14"/>
      <c r="TGA1153" s="14"/>
      <c r="TGB1153" s="14"/>
      <c r="TGC1153" s="14"/>
      <c r="TGD1153" s="14"/>
      <c r="TGE1153" s="14"/>
      <c r="TGF1153" s="14"/>
      <c r="TGG1153" s="14"/>
      <c r="TGH1153" s="14"/>
      <c r="TGI1153" s="14"/>
      <c r="TGJ1153" s="14"/>
      <c r="TGK1153" s="14"/>
      <c r="TGL1153" s="14"/>
      <c r="TGM1153" s="14"/>
      <c r="TGN1153" s="14"/>
      <c r="TGO1153" s="14"/>
      <c r="TGP1153" s="14"/>
      <c r="TGQ1153" s="14"/>
      <c r="TGR1153" s="14"/>
      <c r="TGS1153" s="14"/>
      <c r="TGT1153" s="14"/>
      <c r="TGU1153" s="14"/>
      <c r="TGV1153" s="14"/>
      <c r="TGW1153" s="14"/>
      <c r="TGX1153" s="14"/>
      <c r="TGY1153" s="14"/>
      <c r="TGZ1153" s="14"/>
      <c r="THA1153" s="14"/>
      <c r="THB1153" s="14"/>
      <c r="THC1153" s="14"/>
      <c r="THD1153" s="14"/>
      <c r="THE1153" s="14"/>
      <c r="THF1153" s="14"/>
      <c r="THG1153" s="14"/>
      <c r="THH1153" s="14"/>
      <c r="THI1153" s="14"/>
      <c r="THJ1153" s="14"/>
      <c r="THK1153" s="14"/>
      <c r="THL1153" s="14"/>
      <c r="THM1153" s="14"/>
      <c r="THN1153" s="14"/>
      <c r="THO1153" s="14"/>
      <c r="THP1153" s="14"/>
      <c r="THQ1153" s="14"/>
      <c r="THR1153" s="14"/>
      <c r="THS1153" s="14"/>
      <c r="THT1153" s="14"/>
      <c r="THU1153" s="14"/>
      <c r="THV1153" s="14"/>
      <c r="THW1153" s="14"/>
      <c r="THX1153" s="14"/>
      <c r="THY1153" s="14"/>
      <c r="THZ1153" s="14"/>
      <c r="TIA1153" s="14"/>
      <c r="TIB1153" s="14"/>
      <c r="TIC1153" s="14"/>
      <c r="TID1153" s="14"/>
      <c r="TIE1153" s="14"/>
      <c r="TIF1153" s="14"/>
      <c r="TIG1153" s="14"/>
      <c r="TIH1153" s="14"/>
      <c r="TII1153" s="14"/>
      <c r="TIJ1153" s="14"/>
      <c r="TIK1153" s="14"/>
      <c r="TIL1153" s="14"/>
      <c r="TIM1153" s="14"/>
      <c r="TIN1153" s="14"/>
      <c r="TIO1153" s="14"/>
      <c r="TIP1153" s="14"/>
      <c r="TIQ1153" s="14"/>
      <c r="TIR1153" s="14"/>
      <c r="TIS1153" s="14"/>
      <c r="TIT1153" s="14"/>
      <c r="TIU1153" s="14"/>
      <c r="TIV1153" s="14"/>
      <c r="TIW1153" s="14"/>
      <c r="TIX1153" s="14"/>
      <c r="TIY1153" s="14"/>
      <c r="TIZ1153" s="14"/>
      <c r="TJA1153" s="14"/>
      <c r="TJB1153" s="14"/>
      <c r="TJC1153" s="14"/>
      <c r="TJD1153" s="14"/>
      <c r="TJE1153" s="14"/>
      <c r="TJF1153" s="14"/>
      <c r="TJG1153" s="14"/>
      <c r="TJH1153" s="14"/>
      <c r="TJI1153" s="14"/>
      <c r="TJJ1153" s="14"/>
      <c r="TJK1153" s="14"/>
      <c r="TJL1153" s="14"/>
      <c r="TJM1153" s="14"/>
      <c r="TJN1153" s="14"/>
      <c r="TJO1153" s="14"/>
      <c r="TJP1153" s="14"/>
      <c r="TJQ1153" s="14"/>
      <c r="TJR1153" s="14"/>
      <c r="TJS1153" s="14"/>
      <c r="TJT1153" s="14"/>
      <c r="TJU1153" s="14"/>
      <c r="TJV1153" s="14"/>
      <c r="TJW1153" s="14"/>
      <c r="TJX1153" s="14"/>
      <c r="TJY1153" s="14"/>
      <c r="TJZ1153" s="14"/>
      <c r="TKA1153" s="14"/>
      <c r="TKB1153" s="14"/>
      <c r="TKC1153" s="14"/>
      <c r="TKD1153" s="14"/>
      <c r="TKE1153" s="14"/>
      <c r="TKF1153" s="14"/>
      <c r="TKG1153" s="14"/>
      <c r="TKH1153" s="14"/>
      <c r="TKI1153" s="14"/>
      <c r="TKJ1153" s="14"/>
      <c r="TKK1153" s="14"/>
      <c r="TKL1153" s="14"/>
      <c r="TKM1153" s="14"/>
      <c r="TKN1153" s="14"/>
      <c r="TKO1153" s="14"/>
      <c r="TKP1153" s="14"/>
      <c r="TKQ1153" s="14"/>
      <c r="TKR1153" s="14"/>
      <c r="TKS1153" s="14"/>
      <c r="TKT1153" s="14"/>
      <c r="TKU1153" s="14"/>
      <c r="TKV1153" s="14"/>
      <c r="TKW1153" s="14"/>
      <c r="TKX1153" s="14"/>
      <c r="TKY1153" s="14"/>
      <c r="TKZ1153" s="14"/>
      <c r="TLA1153" s="14"/>
      <c r="TLB1153" s="14"/>
      <c r="TLC1153" s="14"/>
      <c r="TLD1153" s="14"/>
      <c r="TLE1153" s="14"/>
      <c r="TLF1153" s="14"/>
      <c r="TLG1153" s="14"/>
      <c r="TLH1153" s="14"/>
      <c r="TLI1153" s="14"/>
      <c r="TLJ1153" s="14"/>
      <c r="TLK1153" s="14"/>
      <c r="TLL1153" s="14"/>
      <c r="TLM1153" s="14"/>
      <c r="TLN1153" s="14"/>
      <c r="TLO1153" s="14"/>
      <c r="TLP1153" s="14"/>
      <c r="TLQ1153" s="14"/>
      <c r="TLR1153" s="14"/>
      <c r="TLS1153" s="14"/>
      <c r="TLT1153" s="14"/>
      <c r="TLU1153" s="14"/>
      <c r="TLV1153" s="14"/>
      <c r="TLW1153" s="14"/>
      <c r="TLX1153" s="14"/>
      <c r="TLY1153" s="14"/>
      <c r="TLZ1153" s="14"/>
      <c r="TMA1153" s="14"/>
      <c r="TMB1153" s="14"/>
      <c r="TMC1153" s="14"/>
      <c r="TMD1153" s="14"/>
      <c r="TME1153" s="14"/>
      <c r="TMF1153" s="14"/>
      <c r="TMG1153" s="14"/>
      <c r="TMH1153" s="14"/>
      <c r="TMI1153" s="14"/>
      <c r="TMJ1153" s="14"/>
      <c r="TMK1153" s="14"/>
      <c r="TML1153" s="14"/>
      <c r="TMM1153" s="14"/>
      <c r="TMN1153" s="14"/>
      <c r="TMO1153" s="14"/>
      <c r="TMP1153" s="14"/>
      <c r="TMQ1153" s="14"/>
      <c r="TMR1153" s="14"/>
      <c r="TMS1153" s="14"/>
      <c r="TMT1153" s="14"/>
      <c r="TMU1153" s="14"/>
      <c r="TMV1153" s="14"/>
      <c r="TMW1153" s="14"/>
      <c r="TMX1153" s="14"/>
      <c r="TMY1153" s="14"/>
      <c r="TMZ1153" s="14"/>
      <c r="TNA1153" s="14"/>
      <c r="TNB1153" s="14"/>
      <c r="TNC1153" s="14"/>
      <c r="TND1153" s="14"/>
      <c r="TNE1153" s="14"/>
      <c r="TNF1153" s="14"/>
      <c r="TNG1153" s="14"/>
      <c r="TNH1153" s="14"/>
      <c r="TNI1153" s="14"/>
      <c r="TNJ1153" s="14"/>
      <c r="TNK1153" s="14"/>
      <c r="TNL1153" s="14"/>
      <c r="TNM1153" s="14"/>
      <c r="TNN1153" s="14"/>
      <c r="TNO1153" s="14"/>
      <c r="TNP1153" s="14"/>
      <c r="TNQ1153" s="14"/>
      <c r="TNR1153" s="14"/>
      <c r="TNS1153" s="14"/>
      <c r="TNT1153" s="14"/>
      <c r="TNU1153" s="14"/>
      <c r="TNV1153" s="14"/>
      <c r="TNW1153" s="14"/>
      <c r="TNX1153" s="14"/>
      <c r="TNY1153" s="14"/>
      <c r="TNZ1153" s="14"/>
      <c r="TOA1153" s="14"/>
      <c r="TOB1153" s="14"/>
      <c r="TOC1153" s="14"/>
      <c r="TOD1153" s="14"/>
      <c r="TOE1153" s="14"/>
      <c r="TOF1153" s="14"/>
      <c r="TOG1153" s="14"/>
      <c r="TOH1153" s="14"/>
      <c r="TOI1153" s="14"/>
      <c r="TOJ1153" s="14"/>
      <c r="TOK1153" s="14"/>
      <c r="TOL1153" s="14"/>
      <c r="TOM1153" s="14"/>
      <c r="TON1153" s="14"/>
      <c r="TOO1153" s="14"/>
      <c r="TOP1153" s="14"/>
      <c r="TOQ1153" s="14"/>
      <c r="TOR1153" s="14"/>
      <c r="TOS1153" s="14"/>
      <c r="TOT1153" s="14"/>
      <c r="TOU1153" s="14"/>
      <c r="TOV1153" s="14"/>
      <c r="TOW1153" s="14"/>
      <c r="TOX1153" s="14"/>
      <c r="TOY1153" s="14"/>
      <c r="TOZ1153" s="14"/>
      <c r="TPA1153" s="14"/>
      <c r="TPB1153" s="14"/>
      <c r="TPC1153" s="14"/>
      <c r="TPD1153" s="14"/>
      <c r="TPE1153" s="14"/>
      <c r="TPF1153" s="14"/>
      <c r="TPG1153" s="14"/>
      <c r="TPH1153" s="14"/>
      <c r="TPI1153" s="14"/>
      <c r="TPJ1153" s="14"/>
      <c r="TPK1153" s="14"/>
      <c r="TPL1153" s="14"/>
      <c r="TPM1153" s="14"/>
      <c r="TPN1153" s="14"/>
      <c r="TPO1153" s="14"/>
      <c r="TPP1153" s="14"/>
      <c r="TPQ1153" s="14"/>
      <c r="TPR1153" s="14"/>
      <c r="TPS1153" s="14"/>
      <c r="TPT1153" s="14"/>
      <c r="TPU1153" s="14"/>
      <c r="TPV1153" s="14"/>
      <c r="TPW1153" s="14"/>
      <c r="TPX1153" s="14"/>
      <c r="TPY1153" s="14"/>
      <c r="TPZ1153" s="14"/>
      <c r="TQA1153" s="14"/>
      <c r="TQB1153" s="14"/>
      <c r="TQC1153" s="14"/>
      <c r="TQD1153" s="14"/>
      <c r="TQE1153" s="14"/>
      <c r="TQF1153" s="14"/>
      <c r="TQG1153" s="14"/>
      <c r="TQH1153" s="14"/>
      <c r="TQI1153" s="14"/>
      <c r="TQJ1153" s="14"/>
      <c r="TQK1153" s="14"/>
      <c r="TQL1153" s="14"/>
      <c r="TQM1153" s="14"/>
      <c r="TQN1153" s="14"/>
      <c r="TQO1153" s="14"/>
      <c r="TQP1153" s="14"/>
      <c r="TQQ1153" s="14"/>
      <c r="TQR1153" s="14"/>
      <c r="TQS1153" s="14"/>
      <c r="TQT1153" s="14"/>
      <c r="TQU1153" s="14"/>
      <c r="TQV1153" s="14"/>
      <c r="TQW1153" s="14"/>
      <c r="TQX1153" s="14"/>
      <c r="TQY1153" s="14"/>
      <c r="TQZ1153" s="14"/>
      <c r="TRA1153" s="14"/>
      <c r="TRB1153" s="14"/>
      <c r="TRC1153" s="14"/>
      <c r="TRD1153" s="14"/>
      <c r="TRE1153" s="14"/>
      <c r="TRF1153" s="14"/>
      <c r="TRG1153" s="14"/>
      <c r="TRH1153" s="14"/>
      <c r="TRI1153" s="14"/>
      <c r="TRJ1153" s="14"/>
      <c r="TRK1153" s="14"/>
      <c r="TRL1153" s="14"/>
      <c r="TRM1153" s="14"/>
      <c r="TRN1153" s="14"/>
      <c r="TRO1153" s="14"/>
      <c r="TRP1153" s="14"/>
      <c r="TRQ1153" s="14"/>
      <c r="TRR1153" s="14"/>
      <c r="TRS1153" s="14"/>
      <c r="TRT1153" s="14"/>
      <c r="TRU1153" s="14"/>
      <c r="TRV1153" s="14"/>
      <c r="TRW1153" s="14"/>
      <c r="TRX1153" s="14"/>
      <c r="TRY1153" s="14"/>
      <c r="TRZ1153" s="14"/>
      <c r="TSA1153" s="14"/>
      <c r="TSB1153" s="14"/>
      <c r="TSC1153" s="14"/>
      <c r="TSD1153" s="14"/>
      <c r="TSE1153" s="14"/>
      <c r="TSF1153" s="14"/>
      <c r="TSG1153" s="14"/>
      <c r="TSH1153" s="14"/>
      <c r="TSI1153" s="14"/>
      <c r="TSJ1153" s="14"/>
      <c r="TSK1153" s="14"/>
      <c r="TSL1153" s="14"/>
      <c r="TSM1153" s="14"/>
      <c r="TSN1153" s="14"/>
      <c r="TSO1153" s="14"/>
      <c r="TSP1153" s="14"/>
      <c r="TSQ1153" s="14"/>
      <c r="TSR1153" s="14"/>
      <c r="TSS1153" s="14"/>
      <c r="TST1153" s="14"/>
      <c r="TSU1153" s="14"/>
      <c r="TSV1153" s="14"/>
      <c r="TSW1153" s="14"/>
      <c r="TSX1153" s="14"/>
      <c r="TSY1153" s="14"/>
      <c r="TSZ1153" s="14"/>
      <c r="TTA1153" s="14"/>
      <c r="TTB1153" s="14"/>
      <c r="TTC1153" s="14"/>
      <c r="TTD1153" s="14"/>
      <c r="TTE1153" s="14"/>
      <c r="TTF1153" s="14"/>
      <c r="TTG1153" s="14"/>
      <c r="TTH1153" s="14"/>
      <c r="TTI1153" s="14"/>
      <c r="TTJ1153" s="14"/>
      <c r="TTK1153" s="14"/>
      <c r="TTL1153" s="14"/>
      <c r="TTM1153" s="14"/>
      <c r="TTN1153" s="14"/>
      <c r="TTO1153" s="14"/>
      <c r="TTP1153" s="14"/>
      <c r="TTQ1153" s="14"/>
      <c r="TTR1153" s="14"/>
      <c r="TTS1153" s="14"/>
      <c r="TTT1153" s="14"/>
      <c r="TTU1153" s="14"/>
      <c r="TTV1153" s="14"/>
      <c r="TTW1153" s="14"/>
      <c r="TTX1153" s="14"/>
      <c r="TTY1153" s="14"/>
      <c r="TTZ1153" s="14"/>
      <c r="TUA1153" s="14"/>
      <c r="TUB1153" s="14"/>
      <c r="TUC1153" s="14"/>
      <c r="TUD1153" s="14"/>
      <c r="TUE1153" s="14"/>
      <c r="TUF1153" s="14"/>
      <c r="TUG1153" s="14"/>
      <c r="TUH1153" s="14"/>
      <c r="TUI1153" s="14"/>
      <c r="TUJ1153" s="14"/>
      <c r="TUK1153" s="14"/>
      <c r="TUL1153" s="14"/>
      <c r="TUM1153" s="14"/>
      <c r="TUN1153" s="14"/>
      <c r="TUO1153" s="14"/>
      <c r="TUP1153" s="14"/>
      <c r="TUQ1153" s="14"/>
      <c r="TUR1153" s="14"/>
      <c r="TUS1153" s="14"/>
      <c r="TUT1153" s="14"/>
      <c r="TUU1153" s="14"/>
      <c r="TUV1153" s="14"/>
      <c r="TUW1153" s="14"/>
      <c r="TUX1153" s="14"/>
      <c r="TUY1153" s="14"/>
      <c r="TUZ1153" s="14"/>
      <c r="TVA1153" s="14"/>
      <c r="TVB1153" s="14"/>
      <c r="TVC1153" s="14"/>
      <c r="TVD1153" s="14"/>
      <c r="TVE1153" s="14"/>
      <c r="TVF1153" s="14"/>
      <c r="TVG1153" s="14"/>
      <c r="TVH1153" s="14"/>
      <c r="TVI1153" s="14"/>
      <c r="TVJ1153" s="14"/>
      <c r="TVK1153" s="14"/>
      <c r="TVL1153" s="14"/>
      <c r="TVM1153" s="14"/>
      <c r="TVN1153" s="14"/>
      <c r="TVO1153" s="14"/>
      <c r="TVP1153" s="14"/>
      <c r="TVQ1153" s="14"/>
      <c r="TVR1153" s="14"/>
      <c r="TVS1153" s="14"/>
      <c r="TVT1153" s="14"/>
      <c r="TVU1153" s="14"/>
      <c r="TVV1153" s="14"/>
      <c r="TVW1153" s="14"/>
      <c r="TVX1153" s="14"/>
      <c r="TVY1153" s="14"/>
      <c r="TVZ1153" s="14"/>
      <c r="TWA1153" s="14"/>
      <c r="TWB1153" s="14"/>
      <c r="TWC1153" s="14"/>
      <c r="TWD1153" s="14"/>
      <c r="TWE1153" s="14"/>
      <c r="TWF1153" s="14"/>
      <c r="TWG1153" s="14"/>
      <c r="TWH1153" s="14"/>
      <c r="TWI1153" s="14"/>
      <c r="TWJ1153" s="14"/>
      <c r="TWK1153" s="14"/>
      <c r="TWL1153" s="14"/>
      <c r="TWM1153" s="14"/>
      <c r="TWN1153" s="14"/>
      <c r="TWO1153" s="14"/>
      <c r="TWP1153" s="14"/>
      <c r="TWQ1153" s="14"/>
      <c r="TWR1153" s="14"/>
      <c r="TWS1153" s="14"/>
      <c r="TWT1153" s="14"/>
      <c r="TWU1153" s="14"/>
      <c r="TWV1153" s="14"/>
      <c r="TWW1153" s="14"/>
      <c r="TWX1153" s="14"/>
      <c r="TWY1153" s="14"/>
      <c r="TWZ1153" s="14"/>
      <c r="TXA1153" s="14"/>
      <c r="TXB1153" s="14"/>
      <c r="TXC1153" s="14"/>
      <c r="TXD1153" s="14"/>
      <c r="TXE1153" s="14"/>
      <c r="TXF1153" s="14"/>
      <c r="TXG1153" s="14"/>
      <c r="TXH1153" s="14"/>
      <c r="TXI1153" s="14"/>
      <c r="TXJ1153" s="14"/>
      <c r="TXK1153" s="14"/>
      <c r="TXL1153" s="14"/>
      <c r="TXM1153" s="14"/>
      <c r="TXN1153" s="14"/>
      <c r="TXO1153" s="14"/>
      <c r="TXP1153" s="14"/>
      <c r="TXQ1153" s="14"/>
      <c r="TXR1153" s="14"/>
      <c r="TXS1153" s="14"/>
      <c r="TXT1153" s="14"/>
      <c r="TXU1153" s="14"/>
      <c r="TXV1153" s="14"/>
      <c r="TXW1153" s="14"/>
      <c r="TXX1153" s="14"/>
      <c r="TXY1153" s="14"/>
      <c r="TXZ1153" s="14"/>
      <c r="TYA1153" s="14"/>
      <c r="TYB1153" s="14"/>
      <c r="TYC1153" s="14"/>
      <c r="TYD1153" s="14"/>
      <c r="TYE1153" s="14"/>
      <c r="TYF1153" s="14"/>
      <c r="TYG1153" s="14"/>
      <c r="TYH1153" s="14"/>
      <c r="TYI1153" s="14"/>
      <c r="TYJ1153" s="14"/>
      <c r="TYK1153" s="14"/>
      <c r="TYL1153" s="14"/>
      <c r="TYM1153" s="14"/>
      <c r="TYN1153" s="14"/>
      <c r="TYO1153" s="14"/>
      <c r="TYP1153" s="14"/>
      <c r="TYQ1153" s="14"/>
      <c r="TYR1153" s="14"/>
      <c r="TYS1153" s="14"/>
      <c r="TYT1153" s="14"/>
      <c r="TYU1153" s="14"/>
      <c r="TYV1153" s="14"/>
      <c r="TYW1153" s="14"/>
      <c r="TYX1153" s="14"/>
      <c r="TYY1153" s="14"/>
      <c r="TYZ1153" s="14"/>
      <c r="TZA1153" s="14"/>
      <c r="TZB1153" s="14"/>
      <c r="TZC1153" s="14"/>
      <c r="TZD1153" s="14"/>
      <c r="TZE1153" s="14"/>
      <c r="TZF1153" s="14"/>
      <c r="TZG1153" s="14"/>
      <c r="TZH1153" s="14"/>
      <c r="TZI1153" s="14"/>
      <c r="TZJ1153" s="14"/>
      <c r="TZK1153" s="14"/>
      <c r="TZL1153" s="14"/>
      <c r="TZM1153" s="14"/>
      <c r="TZN1153" s="14"/>
      <c r="TZO1153" s="14"/>
      <c r="TZP1153" s="14"/>
      <c r="TZQ1153" s="14"/>
      <c r="TZR1153" s="14"/>
      <c r="TZS1153" s="14"/>
      <c r="TZT1153" s="14"/>
      <c r="TZU1153" s="14"/>
      <c r="TZV1153" s="14"/>
      <c r="TZW1153" s="14"/>
      <c r="TZX1153" s="14"/>
      <c r="TZY1153" s="14"/>
      <c r="TZZ1153" s="14"/>
      <c r="UAA1153" s="14"/>
      <c r="UAB1153" s="14"/>
      <c r="UAC1153" s="14"/>
      <c r="UAD1153" s="14"/>
      <c r="UAE1153" s="14"/>
      <c r="UAF1153" s="14"/>
      <c r="UAG1153" s="14"/>
      <c r="UAH1153" s="14"/>
      <c r="UAI1153" s="14"/>
      <c r="UAJ1153" s="14"/>
      <c r="UAK1153" s="14"/>
      <c r="UAL1153" s="14"/>
      <c r="UAM1153" s="14"/>
      <c r="UAN1153" s="14"/>
      <c r="UAO1153" s="14"/>
      <c r="UAP1153" s="14"/>
      <c r="UAQ1153" s="14"/>
      <c r="UAR1153" s="14"/>
      <c r="UAS1153" s="14"/>
      <c r="UAT1153" s="14"/>
      <c r="UAU1153" s="14"/>
      <c r="UAV1153" s="14"/>
      <c r="UAW1153" s="14"/>
      <c r="UAX1153" s="14"/>
      <c r="UAY1153" s="14"/>
      <c r="UAZ1153" s="14"/>
      <c r="UBA1153" s="14"/>
      <c r="UBB1153" s="14"/>
      <c r="UBC1153" s="14"/>
      <c r="UBD1153" s="14"/>
      <c r="UBE1153" s="14"/>
      <c r="UBF1153" s="14"/>
      <c r="UBG1153" s="14"/>
      <c r="UBH1153" s="14"/>
      <c r="UBI1153" s="14"/>
      <c r="UBJ1153" s="14"/>
      <c r="UBK1153" s="14"/>
      <c r="UBL1153" s="14"/>
      <c r="UBM1153" s="14"/>
      <c r="UBN1153" s="14"/>
      <c r="UBO1153" s="14"/>
      <c r="UBP1153" s="14"/>
      <c r="UBQ1153" s="14"/>
      <c r="UBR1153" s="14"/>
      <c r="UBS1153" s="14"/>
      <c r="UBT1153" s="14"/>
      <c r="UBU1153" s="14"/>
      <c r="UBV1153" s="14"/>
      <c r="UBW1153" s="14"/>
      <c r="UBX1153" s="14"/>
      <c r="UBY1153" s="14"/>
      <c r="UBZ1153" s="14"/>
      <c r="UCA1153" s="14"/>
      <c r="UCB1153" s="14"/>
      <c r="UCC1153" s="14"/>
      <c r="UCD1153" s="14"/>
      <c r="UCE1153" s="14"/>
      <c r="UCF1153" s="14"/>
      <c r="UCG1153" s="14"/>
      <c r="UCH1153" s="14"/>
      <c r="UCI1153" s="14"/>
      <c r="UCJ1153" s="14"/>
      <c r="UCK1153" s="14"/>
      <c r="UCL1153" s="14"/>
      <c r="UCM1153" s="14"/>
      <c r="UCN1153" s="14"/>
      <c r="UCO1153" s="14"/>
      <c r="UCP1153" s="14"/>
      <c r="UCQ1153" s="14"/>
      <c r="UCR1153" s="14"/>
      <c r="UCS1153" s="14"/>
      <c r="UCT1153" s="14"/>
      <c r="UCU1153" s="14"/>
      <c r="UCV1153" s="14"/>
      <c r="UCW1153" s="14"/>
      <c r="UCX1153" s="14"/>
      <c r="UCY1153" s="14"/>
      <c r="UCZ1153" s="14"/>
      <c r="UDA1153" s="14"/>
      <c r="UDB1153" s="14"/>
      <c r="UDC1153" s="14"/>
      <c r="UDD1153" s="14"/>
      <c r="UDE1153" s="14"/>
      <c r="UDF1153" s="14"/>
      <c r="UDG1153" s="14"/>
      <c r="UDH1153" s="14"/>
      <c r="UDI1153" s="14"/>
      <c r="UDJ1153" s="14"/>
      <c r="UDK1153" s="14"/>
      <c r="UDL1153" s="14"/>
      <c r="UDM1153" s="14"/>
      <c r="UDN1153" s="14"/>
      <c r="UDO1153" s="14"/>
      <c r="UDP1153" s="14"/>
      <c r="UDQ1153" s="14"/>
      <c r="UDR1153" s="14"/>
      <c r="UDS1153" s="14"/>
      <c r="UDT1153" s="14"/>
      <c r="UDU1153" s="14"/>
      <c r="UDV1153" s="14"/>
      <c r="UDW1153" s="14"/>
      <c r="UDX1153" s="14"/>
      <c r="UDY1153" s="14"/>
      <c r="UDZ1153" s="14"/>
      <c r="UEA1153" s="14"/>
      <c r="UEB1153" s="14"/>
      <c r="UEC1153" s="14"/>
      <c r="UED1153" s="14"/>
      <c r="UEE1153" s="14"/>
      <c r="UEF1153" s="14"/>
      <c r="UEG1153" s="14"/>
      <c r="UEH1153" s="14"/>
      <c r="UEI1153" s="14"/>
      <c r="UEJ1153" s="14"/>
      <c r="UEK1153" s="14"/>
      <c r="UEL1153" s="14"/>
      <c r="UEM1153" s="14"/>
      <c r="UEN1153" s="14"/>
      <c r="UEO1153" s="14"/>
      <c r="UEP1153" s="14"/>
      <c r="UEQ1153" s="14"/>
      <c r="UER1153" s="14"/>
      <c r="UES1153" s="14"/>
      <c r="UET1153" s="14"/>
      <c r="UEU1153" s="14"/>
      <c r="UEV1153" s="14"/>
      <c r="UEW1153" s="14"/>
      <c r="UEX1153" s="14"/>
      <c r="UEY1153" s="14"/>
      <c r="UEZ1153" s="14"/>
      <c r="UFA1153" s="14"/>
      <c r="UFB1153" s="14"/>
      <c r="UFC1153" s="14"/>
      <c r="UFD1153" s="14"/>
      <c r="UFE1153" s="14"/>
      <c r="UFF1153" s="14"/>
      <c r="UFG1153" s="14"/>
      <c r="UFH1153" s="14"/>
      <c r="UFI1153" s="14"/>
      <c r="UFJ1153" s="14"/>
      <c r="UFK1153" s="14"/>
      <c r="UFL1153" s="14"/>
      <c r="UFM1153" s="14"/>
      <c r="UFN1153" s="14"/>
      <c r="UFO1153" s="14"/>
      <c r="UFP1153" s="14"/>
      <c r="UFQ1153" s="14"/>
      <c r="UFR1153" s="14"/>
      <c r="UFS1153" s="14"/>
      <c r="UFT1153" s="14"/>
      <c r="UFU1153" s="14"/>
      <c r="UFV1153" s="14"/>
      <c r="UFW1153" s="14"/>
      <c r="UFX1153" s="14"/>
      <c r="UFY1153" s="14"/>
      <c r="UFZ1153" s="14"/>
      <c r="UGA1153" s="14"/>
      <c r="UGB1153" s="14"/>
      <c r="UGC1153" s="14"/>
      <c r="UGD1153" s="14"/>
      <c r="UGE1153" s="14"/>
      <c r="UGF1153" s="14"/>
      <c r="UGG1153" s="14"/>
      <c r="UGH1153" s="14"/>
      <c r="UGI1153" s="14"/>
      <c r="UGJ1153" s="14"/>
      <c r="UGK1153" s="14"/>
      <c r="UGL1153" s="14"/>
      <c r="UGM1153" s="14"/>
      <c r="UGN1153" s="14"/>
      <c r="UGO1153" s="14"/>
      <c r="UGP1153" s="14"/>
      <c r="UGQ1153" s="14"/>
      <c r="UGR1153" s="14"/>
      <c r="UGS1153" s="14"/>
      <c r="UGT1153" s="14"/>
      <c r="UGU1153" s="14"/>
      <c r="UGV1153" s="14"/>
      <c r="UGW1153" s="14"/>
      <c r="UGX1153" s="14"/>
      <c r="UGY1153" s="14"/>
      <c r="UGZ1153" s="14"/>
      <c r="UHA1153" s="14"/>
      <c r="UHB1153" s="14"/>
      <c r="UHC1153" s="14"/>
      <c r="UHD1153" s="14"/>
      <c r="UHE1153" s="14"/>
      <c r="UHF1153" s="14"/>
      <c r="UHG1153" s="14"/>
      <c r="UHH1153" s="14"/>
      <c r="UHI1153" s="14"/>
      <c r="UHJ1153" s="14"/>
      <c r="UHK1153" s="14"/>
      <c r="UHL1153" s="14"/>
      <c r="UHM1153" s="14"/>
      <c r="UHN1153" s="14"/>
      <c r="UHO1153" s="14"/>
      <c r="UHP1153" s="14"/>
      <c r="UHQ1153" s="14"/>
      <c r="UHR1153" s="14"/>
      <c r="UHS1153" s="14"/>
      <c r="UHT1153" s="14"/>
      <c r="UHU1153" s="14"/>
      <c r="UHV1153" s="14"/>
      <c r="UHW1153" s="14"/>
      <c r="UHX1153" s="14"/>
      <c r="UHY1153" s="14"/>
      <c r="UHZ1153" s="14"/>
      <c r="UIA1153" s="14"/>
      <c r="UIB1153" s="14"/>
      <c r="UIC1153" s="14"/>
      <c r="UID1153" s="14"/>
      <c r="UIE1153" s="14"/>
      <c r="UIF1153" s="14"/>
      <c r="UIG1153" s="14"/>
      <c r="UIH1153" s="14"/>
      <c r="UII1153" s="14"/>
      <c r="UIJ1153" s="14"/>
      <c r="UIK1153" s="14"/>
      <c r="UIL1153" s="14"/>
      <c r="UIM1153" s="14"/>
      <c r="UIN1153" s="14"/>
      <c r="UIO1153" s="14"/>
      <c r="UIP1153" s="14"/>
      <c r="UIQ1153" s="14"/>
      <c r="UIR1153" s="14"/>
      <c r="UIS1153" s="14"/>
      <c r="UIT1153" s="14"/>
      <c r="UIU1153" s="14"/>
      <c r="UIV1153" s="14"/>
      <c r="UIW1153" s="14"/>
      <c r="UIX1153" s="14"/>
      <c r="UIY1153" s="14"/>
      <c r="UIZ1153" s="14"/>
      <c r="UJA1153" s="14"/>
      <c r="UJB1153" s="14"/>
      <c r="UJC1153" s="14"/>
      <c r="UJD1153" s="14"/>
      <c r="UJE1153" s="14"/>
      <c r="UJF1153" s="14"/>
      <c r="UJG1153" s="14"/>
      <c r="UJH1153" s="14"/>
      <c r="UJI1153" s="14"/>
      <c r="UJJ1153" s="14"/>
      <c r="UJK1153" s="14"/>
      <c r="UJL1153" s="14"/>
      <c r="UJM1153" s="14"/>
      <c r="UJN1153" s="14"/>
      <c r="UJO1153" s="14"/>
      <c r="UJP1153" s="14"/>
      <c r="UJQ1153" s="14"/>
      <c r="UJR1153" s="14"/>
      <c r="UJS1153" s="14"/>
      <c r="UJT1153" s="14"/>
      <c r="UJU1153" s="14"/>
      <c r="UJV1153" s="14"/>
      <c r="UJW1153" s="14"/>
      <c r="UJX1153" s="14"/>
      <c r="UJY1153" s="14"/>
      <c r="UJZ1153" s="14"/>
      <c r="UKA1153" s="14"/>
      <c r="UKB1153" s="14"/>
      <c r="UKC1153" s="14"/>
      <c r="UKD1153" s="14"/>
      <c r="UKE1153" s="14"/>
      <c r="UKF1153" s="14"/>
      <c r="UKG1153" s="14"/>
      <c r="UKH1153" s="14"/>
      <c r="UKI1153" s="14"/>
      <c r="UKJ1153" s="14"/>
      <c r="UKK1153" s="14"/>
      <c r="UKL1153" s="14"/>
      <c r="UKM1153" s="14"/>
      <c r="UKN1153" s="14"/>
      <c r="UKO1153" s="14"/>
      <c r="UKP1153" s="14"/>
      <c r="UKQ1153" s="14"/>
      <c r="UKR1153" s="14"/>
      <c r="UKS1153" s="14"/>
      <c r="UKT1153" s="14"/>
      <c r="UKU1153" s="14"/>
      <c r="UKV1153" s="14"/>
      <c r="UKW1153" s="14"/>
      <c r="UKX1153" s="14"/>
      <c r="UKY1153" s="14"/>
      <c r="UKZ1153" s="14"/>
      <c r="ULA1153" s="14"/>
      <c r="ULB1153" s="14"/>
      <c r="ULC1153" s="14"/>
      <c r="ULD1153" s="14"/>
      <c r="ULE1153" s="14"/>
      <c r="ULF1153" s="14"/>
      <c r="ULG1153" s="14"/>
      <c r="ULH1153" s="14"/>
      <c r="ULI1153" s="14"/>
      <c r="ULJ1153" s="14"/>
      <c r="ULK1153" s="14"/>
      <c r="ULL1153" s="14"/>
      <c r="ULM1153" s="14"/>
      <c r="ULN1153" s="14"/>
      <c r="ULO1153" s="14"/>
      <c r="ULP1153" s="14"/>
      <c r="ULQ1153" s="14"/>
      <c r="ULR1153" s="14"/>
      <c r="ULS1153" s="14"/>
      <c r="ULT1153" s="14"/>
      <c r="ULU1153" s="14"/>
      <c r="ULV1153" s="14"/>
      <c r="ULW1153" s="14"/>
      <c r="ULX1153" s="14"/>
      <c r="ULY1153" s="14"/>
      <c r="ULZ1153" s="14"/>
      <c r="UMA1153" s="14"/>
      <c r="UMB1153" s="14"/>
      <c r="UMC1153" s="14"/>
      <c r="UMD1153" s="14"/>
      <c r="UME1153" s="14"/>
      <c r="UMF1153" s="14"/>
      <c r="UMG1153" s="14"/>
      <c r="UMH1153" s="14"/>
      <c r="UMI1153" s="14"/>
      <c r="UMJ1153" s="14"/>
      <c r="UMK1153" s="14"/>
      <c r="UML1153" s="14"/>
      <c r="UMM1153" s="14"/>
      <c r="UMN1153" s="14"/>
      <c r="UMO1153" s="14"/>
      <c r="UMP1153" s="14"/>
      <c r="UMQ1153" s="14"/>
      <c r="UMR1153" s="14"/>
      <c r="UMS1153" s="14"/>
      <c r="UMT1153" s="14"/>
      <c r="UMU1153" s="14"/>
      <c r="UMV1153" s="14"/>
      <c r="UMW1153" s="14"/>
      <c r="UMX1153" s="14"/>
      <c r="UMY1153" s="14"/>
      <c r="UMZ1153" s="14"/>
      <c r="UNA1153" s="14"/>
      <c r="UNB1153" s="14"/>
      <c r="UNC1153" s="14"/>
      <c r="UND1153" s="14"/>
      <c r="UNE1153" s="14"/>
      <c r="UNF1153" s="14"/>
      <c r="UNG1153" s="14"/>
      <c r="UNH1153" s="14"/>
      <c r="UNI1153" s="14"/>
      <c r="UNJ1153" s="14"/>
      <c r="UNK1153" s="14"/>
      <c r="UNL1153" s="14"/>
      <c r="UNM1153" s="14"/>
      <c r="UNN1153" s="14"/>
      <c r="UNO1153" s="14"/>
      <c r="UNP1153" s="14"/>
      <c r="UNQ1153" s="14"/>
      <c r="UNR1153" s="14"/>
      <c r="UNS1153" s="14"/>
      <c r="UNT1153" s="14"/>
      <c r="UNU1153" s="14"/>
      <c r="UNV1153" s="14"/>
      <c r="UNW1153" s="14"/>
      <c r="UNX1153" s="14"/>
      <c r="UNY1153" s="14"/>
      <c r="UNZ1153" s="14"/>
      <c r="UOA1153" s="14"/>
      <c r="UOB1153" s="14"/>
      <c r="UOC1153" s="14"/>
      <c r="UOD1153" s="14"/>
      <c r="UOE1153" s="14"/>
      <c r="UOF1153" s="14"/>
      <c r="UOG1153" s="14"/>
      <c r="UOH1153" s="14"/>
      <c r="UOI1153" s="14"/>
      <c r="UOJ1153" s="14"/>
      <c r="UOK1153" s="14"/>
      <c r="UOL1153" s="14"/>
      <c r="UOM1153" s="14"/>
      <c r="UON1153" s="14"/>
      <c r="UOO1153" s="14"/>
      <c r="UOP1153" s="14"/>
      <c r="UOQ1153" s="14"/>
      <c r="UOR1153" s="14"/>
      <c r="UOS1153" s="14"/>
      <c r="UOT1153" s="14"/>
      <c r="UOU1153" s="14"/>
      <c r="UOV1153" s="14"/>
      <c r="UOW1153" s="14"/>
      <c r="UOX1153" s="14"/>
      <c r="UOY1153" s="14"/>
      <c r="UOZ1153" s="14"/>
      <c r="UPA1153" s="14"/>
      <c r="UPB1153" s="14"/>
      <c r="UPC1153" s="14"/>
      <c r="UPD1153" s="14"/>
      <c r="UPE1153" s="14"/>
      <c r="UPF1153" s="14"/>
      <c r="UPG1153" s="14"/>
      <c r="UPH1153" s="14"/>
      <c r="UPI1153" s="14"/>
      <c r="UPJ1153" s="14"/>
      <c r="UPK1153" s="14"/>
      <c r="UPL1153" s="14"/>
      <c r="UPM1153" s="14"/>
      <c r="UPN1153" s="14"/>
      <c r="UPO1153" s="14"/>
      <c r="UPP1153" s="14"/>
      <c r="UPQ1153" s="14"/>
      <c r="UPR1153" s="14"/>
      <c r="UPS1153" s="14"/>
      <c r="UPT1153" s="14"/>
      <c r="UPU1153" s="14"/>
      <c r="UPV1153" s="14"/>
      <c r="UPW1153" s="14"/>
      <c r="UPX1153" s="14"/>
      <c r="UPY1153" s="14"/>
      <c r="UPZ1153" s="14"/>
      <c r="UQA1153" s="14"/>
      <c r="UQB1153" s="14"/>
      <c r="UQC1153" s="14"/>
      <c r="UQD1153" s="14"/>
      <c r="UQE1153" s="14"/>
      <c r="UQF1153" s="14"/>
      <c r="UQG1153" s="14"/>
      <c r="UQH1153" s="14"/>
      <c r="UQI1153" s="14"/>
      <c r="UQJ1153" s="14"/>
      <c r="UQK1153" s="14"/>
      <c r="UQL1153" s="14"/>
      <c r="UQM1153" s="14"/>
      <c r="UQN1153" s="14"/>
      <c r="UQO1153" s="14"/>
      <c r="UQP1153" s="14"/>
      <c r="UQQ1153" s="14"/>
      <c r="UQR1153" s="14"/>
      <c r="UQS1153" s="14"/>
      <c r="UQT1153" s="14"/>
      <c r="UQU1153" s="14"/>
      <c r="UQV1153" s="14"/>
      <c r="UQW1153" s="14"/>
      <c r="UQX1153" s="14"/>
      <c r="UQY1153" s="14"/>
      <c r="UQZ1153" s="14"/>
      <c r="URA1153" s="14"/>
      <c r="URB1153" s="14"/>
      <c r="URC1153" s="14"/>
      <c r="URD1153" s="14"/>
      <c r="URE1153" s="14"/>
      <c r="URF1153" s="14"/>
      <c r="URG1153" s="14"/>
      <c r="URH1153" s="14"/>
      <c r="URI1153" s="14"/>
      <c r="URJ1153" s="14"/>
      <c r="URK1153" s="14"/>
      <c r="URL1153" s="14"/>
      <c r="URM1153" s="14"/>
      <c r="URN1153" s="14"/>
      <c r="URO1153" s="14"/>
      <c r="URP1153" s="14"/>
      <c r="URQ1153" s="14"/>
      <c r="URR1153" s="14"/>
      <c r="URS1153" s="14"/>
      <c r="URT1153" s="14"/>
      <c r="URU1153" s="14"/>
      <c r="URV1153" s="14"/>
      <c r="URW1153" s="14"/>
      <c r="URX1153" s="14"/>
      <c r="URY1153" s="14"/>
      <c r="URZ1153" s="14"/>
      <c r="USA1153" s="14"/>
      <c r="USB1153" s="14"/>
      <c r="USC1153" s="14"/>
      <c r="USD1153" s="14"/>
      <c r="USE1153" s="14"/>
      <c r="USF1153" s="14"/>
      <c r="USG1153" s="14"/>
      <c r="USH1153" s="14"/>
      <c r="USI1153" s="14"/>
      <c r="USJ1153" s="14"/>
      <c r="USK1153" s="14"/>
      <c r="USL1153" s="14"/>
      <c r="USM1153" s="14"/>
      <c r="USN1153" s="14"/>
      <c r="USO1153" s="14"/>
      <c r="USP1153" s="14"/>
      <c r="USQ1153" s="14"/>
      <c r="USR1153" s="14"/>
      <c r="USS1153" s="14"/>
      <c r="UST1153" s="14"/>
      <c r="USU1153" s="14"/>
      <c r="USV1153" s="14"/>
      <c r="USW1153" s="14"/>
      <c r="USX1153" s="14"/>
      <c r="USY1153" s="14"/>
      <c r="USZ1153" s="14"/>
      <c r="UTA1153" s="14"/>
      <c r="UTB1153" s="14"/>
      <c r="UTC1153" s="14"/>
      <c r="UTD1153" s="14"/>
      <c r="UTE1153" s="14"/>
      <c r="UTF1153" s="14"/>
      <c r="UTG1153" s="14"/>
      <c r="UTH1153" s="14"/>
      <c r="UTI1153" s="14"/>
      <c r="UTJ1153" s="14"/>
      <c r="UTK1153" s="14"/>
      <c r="UTL1153" s="14"/>
      <c r="UTM1153" s="14"/>
      <c r="UTN1153" s="14"/>
      <c r="UTO1153" s="14"/>
      <c r="UTP1153" s="14"/>
      <c r="UTQ1153" s="14"/>
      <c r="UTR1153" s="14"/>
      <c r="UTS1153" s="14"/>
      <c r="UTT1153" s="14"/>
      <c r="UTU1153" s="14"/>
      <c r="UTV1153" s="14"/>
      <c r="UTW1153" s="14"/>
      <c r="UTX1153" s="14"/>
      <c r="UTY1153" s="14"/>
      <c r="UTZ1153" s="14"/>
      <c r="UUA1153" s="14"/>
      <c r="UUB1153" s="14"/>
      <c r="UUC1153" s="14"/>
      <c r="UUD1153" s="14"/>
      <c r="UUE1153" s="14"/>
      <c r="UUF1153" s="14"/>
      <c r="UUG1153" s="14"/>
      <c r="UUH1153" s="14"/>
      <c r="UUI1153" s="14"/>
      <c r="UUJ1153" s="14"/>
      <c r="UUK1153" s="14"/>
      <c r="UUL1153" s="14"/>
      <c r="UUM1153" s="14"/>
      <c r="UUN1153" s="14"/>
      <c r="UUO1153" s="14"/>
      <c r="UUP1153" s="14"/>
      <c r="UUQ1153" s="14"/>
      <c r="UUR1153" s="14"/>
      <c r="UUS1153" s="14"/>
      <c r="UUT1153" s="14"/>
      <c r="UUU1153" s="14"/>
      <c r="UUV1153" s="14"/>
      <c r="UUW1153" s="14"/>
      <c r="UUX1153" s="14"/>
      <c r="UUY1153" s="14"/>
      <c r="UUZ1153" s="14"/>
      <c r="UVA1153" s="14"/>
      <c r="UVB1153" s="14"/>
      <c r="UVC1153" s="14"/>
      <c r="UVD1153" s="14"/>
      <c r="UVE1153" s="14"/>
      <c r="UVF1153" s="14"/>
      <c r="UVG1153" s="14"/>
      <c r="UVH1153" s="14"/>
      <c r="UVI1153" s="14"/>
      <c r="UVJ1153" s="14"/>
      <c r="UVK1153" s="14"/>
      <c r="UVL1153" s="14"/>
      <c r="UVM1153" s="14"/>
      <c r="UVN1153" s="14"/>
      <c r="UVO1153" s="14"/>
      <c r="UVP1153" s="14"/>
      <c r="UVQ1153" s="14"/>
      <c r="UVR1153" s="14"/>
      <c r="UVS1153" s="14"/>
      <c r="UVT1153" s="14"/>
      <c r="UVU1153" s="14"/>
      <c r="UVV1153" s="14"/>
      <c r="UVW1153" s="14"/>
      <c r="UVX1153" s="14"/>
      <c r="UVY1153" s="14"/>
      <c r="UVZ1153" s="14"/>
      <c r="UWA1153" s="14"/>
      <c r="UWB1153" s="14"/>
      <c r="UWC1153" s="14"/>
      <c r="UWD1153" s="14"/>
      <c r="UWE1153" s="14"/>
      <c r="UWF1153" s="14"/>
      <c r="UWG1153" s="14"/>
      <c r="UWH1153" s="14"/>
      <c r="UWI1153" s="14"/>
      <c r="UWJ1153" s="14"/>
      <c r="UWK1153" s="14"/>
      <c r="UWL1153" s="14"/>
      <c r="UWM1153" s="14"/>
      <c r="UWN1153" s="14"/>
      <c r="UWO1153" s="14"/>
      <c r="UWP1153" s="14"/>
      <c r="UWQ1153" s="14"/>
      <c r="UWR1153" s="14"/>
      <c r="UWS1153" s="14"/>
      <c r="UWT1153" s="14"/>
      <c r="UWU1153" s="14"/>
      <c r="UWV1153" s="14"/>
      <c r="UWW1153" s="14"/>
      <c r="UWX1153" s="14"/>
      <c r="UWY1153" s="14"/>
      <c r="UWZ1153" s="14"/>
      <c r="UXA1153" s="14"/>
      <c r="UXB1153" s="14"/>
      <c r="UXC1153" s="14"/>
      <c r="UXD1153" s="14"/>
      <c r="UXE1153" s="14"/>
      <c r="UXF1153" s="14"/>
      <c r="UXG1153" s="14"/>
      <c r="UXH1153" s="14"/>
      <c r="UXI1153" s="14"/>
      <c r="UXJ1153" s="14"/>
      <c r="UXK1153" s="14"/>
      <c r="UXL1153" s="14"/>
      <c r="UXM1153" s="14"/>
      <c r="UXN1153" s="14"/>
      <c r="UXO1153" s="14"/>
      <c r="UXP1153" s="14"/>
      <c r="UXQ1153" s="14"/>
      <c r="UXR1153" s="14"/>
      <c r="UXS1153" s="14"/>
      <c r="UXT1153" s="14"/>
      <c r="UXU1153" s="14"/>
      <c r="UXV1153" s="14"/>
      <c r="UXW1153" s="14"/>
      <c r="UXX1153" s="14"/>
      <c r="UXY1153" s="14"/>
      <c r="UXZ1153" s="14"/>
      <c r="UYA1153" s="14"/>
      <c r="UYB1153" s="14"/>
      <c r="UYC1153" s="14"/>
      <c r="UYD1153" s="14"/>
      <c r="UYE1153" s="14"/>
      <c r="UYF1153" s="14"/>
      <c r="UYG1153" s="14"/>
      <c r="UYH1153" s="14"/>
      <c r="UYI1153" s="14"/>
      <c r="UYJ1153" s="14"/>
      <c r="UYK1153" s="14"/>
      <c r="UYL1153" s="14"/>
      <c r="UYM1153" s="14"/>
      <c r="UYN1153" s="14"/>
      <c r="UYO1153" s="14"/>
      <c r="UYP1153" s="14"/>
      <c r="UYQ1153" s="14"/>
      <c r="UYR1153" s="14"/>
      <c r="UYS1153" s="14"/>
      <c r="UYT1153" s="14"/>
      <c r="UYU1153" s="14"/>
      <c r="UYV1153" s="14"/>
      <c r="UYW1153" s="14"/>
      <c r="UYX1153" s="14"/>
      <c r="UYY1153" s="14"/>
      <c r="UYZ1153" s="14"/>
      <c r="UZA1153" s="14"/>
      <c r="UZB1153" s="14"/>
      <c r="UZC1153" s="14"/>
      <c r="UZD1153" s="14"/>
      <c r="UZE1153" s="14"/>
      <c r="UZF1153" s="14"/>
      <c r="UZG1153" s="14"/>
      <c r="UZH1153" s="14"/>
      <c r="UZI1153" s="14"/>
      <c r="UZJ1153" s="14"/>
      <c r="UZK1153" s="14"/>
      <c r="UZL1153" s="14"/>
      <c r="UZM1153" s="14"/>
      <c r="UZN1153" s="14"/>
      <c r="UZO1153" s="14"/>
      <c r="UZP1153" s="14"/>
      <c r="UZQ1153" s="14"/>
      <c r="UZR1153" s="14"/>
      <c r="UZS1153" s="14"/>
      <c r="UZT1153" s="14"/>
      <c r="UZU1153" s="14"/>
      <c r="UZV1153" s="14"/>
      <c r="UZW1153" s="14"/>
      <c r="UZX1153" s="14"/>
      <c r="UZY1153" s="14"/>
      <c r="UZZ1153" s="14"/>
      <c r="VAA1153" s="14"/>
      <c r="VAB1153" s="14"/>
      <c r="VAC1153" s="14"/>
      <c r="VAD1153" s="14"/>
      <c r="VAE1153" s="14"/>
      <c r="VAF1153" s="14"/>
      <c r="VAG1153" s="14"/>
      <c r="VAH1153" s="14"/>
      <c r="VAI1153" s="14"/>
      <c r="VAJ1153" s="14"/>
      <c r="VAK1153" s="14"/>
      <c r="VAL1153" s="14"/>
      <c r="VAM1153" s="14"/>
      <c r="VAN1153" s="14"/>
      <c r="VAO1153" s="14"/>
      <c r="VAP1153" s="14"/>
      <c r="VAQ1153" s="14"/>
      <c r="VAR1153" s="14"/>
      <c r="VAS1153" s="14"/>
      <c r="VAT1153" s="14"/>
      <c r="VAU1153" s="14"/>
      <c r="VAV1153" s="14"/>
      <c r="VAW1153" s="14"/>
      <c r="VAX1153" s="14"/>
      <c r="VAY1153" s="14"/>
      <c r="VAZ1153" s="14"/>
      <c r="VBA1153" s="14"/>
      <c r="VBB1153" s="14"/>
      <c r="VBC1153" s="14"/>
      <c r="VBD1153" s="14"/>
      <c r="VBE1153" s="14"/>
      <c r="VBF1153" s="14"/>
      <c r="VBG1153" s="14"/>
      <c r="VBH1153" s="14"/>
      <c r="VBI1153" s="14"/>
      <c r="VBJ1153" s="14"/>
      <c r="VBK1153" s="14"/>
      <c r="VBL1153" s="14"/>
      <c r="VBM1153" s="14"/>
      <c r="VBN1153" s="14"/>
      <c r="VBO1153" s="14"/>
      <c r="VBP1153" s="14"/>
      <c r="VBQ1153" s="14"/>
      <c r="VBR1153" s="14"/>
      <c r="VBS1153" s="14"/>
      <c r="VBT1153" s="14"/>
      <c r="VBU1153" s="14"/>
      <c r="VBV1153" s="14"/>
      <c r="VBW1153" s="14"/>
      <c r="VBX1153" s="14"/>
      <c r="VBY1153" s="14"/>
      <c r="VBZ1153" s="14"/>
      <c r="VCA1153" s="14"/>
      <c r="VCB1153" s="14"/>
      <c r="VCC1153" s="14"/>
      <c r="VCD1153" s="14"/>
      <c r="VCE1153" s="14"/>
      <c r="VCF1153" s="14"/>
      <c r="VCG1153" s="14"/>
      <c r="VCH1153" s="14"/>
      <c r="VCI1153" s="14"/>
      <c r="VCJ1153" s="14"/>
      <c r="VCK1153" s="14"/>
      <c r="VCL1153" s="14"/>
      <c r="VCM1153" s="14"/>
      <c r="VCN1153" s="14"/>
      <c r="VCO1153" s="14"/>
      <c r="VCP1153" s="14"/>
      <c r="VCQ1153" s="14"/>
      <c r="VCR1153" s="14"/>
      <c r="VCS1153" s="14"/>
      <c r="VCT1153" s="14"/>
      <c r="VCU1153" s="14"/>
      <c r="VCV1153" s="14"/>
      <c r="VCW1153" s="14"/>
      <c r="VCX1153" s="14"/>
      <c r="VCY1153" s="14"/>
      <c r="VCZ1153" s="14"/>
      <c r="VDA1153" s="14"/>
      <c r="VDB1153" s="14"/>
      <c r="VDC1153" s="14"/>
      <c r="VDD1153" s="14"/>
      <c r="VDE1153" s="14"/>
      <c r="VDF1153" s="14"/>
      <c r="VDG1153" s="14"/>
      <c r="VDH1153" s="14"/>
      <c r="VDI1153" s="14"/>
      <c r="VDJ1153" s="14"/>
      <c r="VDK1153" s="14"/>
      <c r="VDL1153" s="14"/>
      <c r="VDM1153" s="14"/>
      <c r="VDN1153" s="14"/>
      <c r="VDO1153" s="14"/>
      <c r="VDP1153" s="14"/>
      <c r="VDQ1153" s="14"/>
      <c r="VDR1153" s="14"/>
      <c r="VDS1153" s="14"/>
      <c r="VDT1153" s="14"/>
      <c r="VDU1153" s="14"/>
      <c r="VDV1153" s="14"/>
      <c r="VDW1153" s="14"/>
      <c r="VDX1153" s="14"/>
      <c r="VDY1153" s="14"/>
      <c r="VDZ1153" s="14"/>
      <c r="VEA1153" s="14"/>
      <c r="VEB1153" s="14"/>
      <c r="VEC1153" s="14"/>
      <c r="VED1153" s="14"/>
      <c r="VEE1153" s="14"/>
      <c r="VEF1153" s="14"/>
      <c r="VEG1153" s="14"/>
      <c r="VEH1153" s="14"/>
      <c r="VEI1153" s="14"/>
      <c r="VEJ1153" s="14"/>
      <c r="VEK1153" s="14"/>
      <c r="VEL1153" s="14"/>
      <c r="VEM1153" s="14"/>
      <c r="VEN1153" s="14"/>
      <c r="VEO1153" s="14"/>
      <c r="VEP1153" s="14"/>
      <c r="VEQ1153" s="14"/>
      <c r="VER1153" s="14"/>
      <c r="VES1153" s="14"/>
      <c r="VET1153" s="14"/>
      <c r="VEU1153" s="14"/>
      <c r="VEV1153" s="14"/>
      <c r="VEW1153" s="14"/>
      <c r="VEX1153" s="14"/>
      <c r="VEY1153" s="14"/>
      <c r="VEZ1153" s="14"/>
      <c r="VFA1153" s="14"/>
      <c r="VFB1153" s="14"/>
      <c r="VFC1153" s="14"/>
      <c r="VFD1153" s="14"/>
      <c r="VFE1153" s="14"/>
      <c r="VFF1153" s="14"/>
      <c r="VFG1153" s="14"/>
      <c r="VFH1153" s="14"/>
      <c r="VFI1153" s="14"/>
      <c r="VFJ1153" s="14"/>
      <c r="VFK1153" s="14"/>
      <c r="VFL1153" s="14"/>
      <c r="VFM1153" s="14"/>
      <c r="VFN1153" s="14"/>
      <c r="VFO1153" s="14"/>
      <c r="VFP1153" s="14"/>
      <c r="VFQ1153" s="14"/>
      <c r="VFR1153" s="14"/>
      <c r="VFS1153" s="14"/>
      <c r="VFT1153" s="14"/>
      <c r="VFU1153" s="14"/>
      <c r="VFV1153" s="14"/>
      <c r="VFW1153" s="14"/>
      <c r="VFX1153" s="14"/>
      <c r="VFY1153" s="14"/>
      <c r="VFZ1153" s="14"/>
      <c r="VGA1153" s="14"/>
      <c r="VGB1153" s="14"/>
      <c r="VGC1153" s="14"/>
      <c r="VGD1153" s="14"/>
      <c r="VGE1153" s="14"/>
      <c r="VGF1153" s="14"/>
      <c r="VGG1153" s="14"/>
      <c r="VGH1153" s="14"/>
      <c r="VGI1153" s="14"/>
      <c r="VGJ1153" s="14"/>
      <c r="VGK1153" s="14"/>
      <c r="VGL1153" s="14"/>
      <c r="VGM1153" s="14"/>
      <c r="VGN1153" s="14"/>
      <c r="VGO1153" s="14"/>
      <c r="VGP1153" s="14"/>
      <c r="VGQ1153" s="14"/>
      <c r="VGR1153" s="14"/>
      <c r="VGS1153" s="14"/>
      <c r="VGT1153" s="14"/>
      <c r="VGU1153" s="14"/>
      <c r="VGV1153" s="14"/>
      <c r="VGW1153" s="14"/>
      <c r="VGX1153" s="14"/>
      <c r="VGY1153" s="14"/>
      <c r="VGZ1153" s="14"/>
      <c r="VHA1153" s="14"/>
      <c r="VHB1153" s="14"/>
      <c r="VHC1153" s="14"/>
      <c r="VHD1153" s="14"/>
      <c r="VHE1153" s="14"/>
      <c r="VHF1153" s="14"/>
      <c r="VHG1153" s="14"/>
      <c r="VHH1153" s="14"/>
      <c r="VHI1153" s="14"/>
      <c r="VHJ1153" s="14"/>
      <c r="VHK1153" s="14"/>
      <c r="VHL1153" s="14"/>
      <c r="VHM1153" s="14"/>
      <c r="VHN1153" s="14"/>
      <c r="VHO1153" s="14"/>
      <c r="VHP1153" s="14"/>
      <c r="VHQ1153" s="14"/>
      <c r="VHR1153" s="14"/>
      <c r="VHS1153" s="14"/>
      <c r="VHT1153" s="14"/>
      <c r="VHU1153" s="14"/>
      <c r="VHV1153" s="14"/>
      <c r="VHW1153" s="14"/>
      <c r="VHX1153" s="14"/>
      <c r="VHY1153" s="14"/>
      <c r="VHZ1153" s="14"/>
      <c r="VIA1153" s="14"/>
      <c r="VIB1153" s="14"/>
      <c r="VIC1153" s="14"/>
      <c r="VID1153" s="14"/>
      <c r="VIE1153" s="14"/>
      <c r="VIF1153" s="14"/>
      <c r="VIG1153" s="14"/>
      <c r="VIH1153" s="14"/>
      <c r="VII1153" s="14"/>
      <c r="VIJ1153" s="14"/>
      <c r="VIK1153" s="14"/>
      <c r="VIL1153" s="14"/>
      <c r="VIM1153" s="14"/>
      <c r="VIN1153" s="14"/>
      <c r="VIO1153" s="14"/>
      <c r="VIP1153" s="14"/>
      <c r="VIQ1153" s="14"/>
      <c r="VIR1153" s="14"/>
      <c r="VIS1153" s="14"/>
      <c r="VIT1153" s="14"/>
      <c r="VIU1153" s="14"/>
      <c r="VIV1153" s="14"/>
      <c r="VIW1153" s="14"/>
      <c r="VIX1153" s="14"/>
      <c r="VIY1153" s="14"/>
      <c r="VIZ1153" s="14"/>
      <c r="VJA1153" s="14"/>
      <c r="VJB1153" s="14"/>
      <c r="VJC1153" s="14"/>
      <c r="VJD1153" s="14"/>
      <c r="VJE1153" s="14"/>
      <c r="VJF1153" s="14"/>
      <c r="VJG1153" s="14"/>
      <c r="VJH1153" s="14"/>
      <c r="VJI1153" s="14"/>
      <c r="VJJ1153" s="14"/>
      <c r="VJK1153" s="14"/>
      <c r="VJL1153" s="14"/>
      <c r="VJM1153" s="14"/>
      <c r="VJN1153" s="14"/>
      <c r="VJO1153" s="14"/>
      <c r="VJP1153" s="14"/>
      <c r="VJQ1153" s="14"/>
      <c r="VJR1153" s="14"/>
      <c r="VJS1153" s="14"/>
      <c r="VJT1153" s="14"/>
      <c r="VJU1153" s="14"/>
      <c r="VJV1153" s="14"/>
      <c r="VJW1153" s="14"/>
      <c r="VJX1153" s="14"/>
      <c r="VJY1153" s="14"/>
      <c r="VJZ1153" s="14"/>
      <c r="VKA1153" s="14"/>
      <c r="VKB1153" s="14"/>
      <c r="VKC1153" s="14"/>
      <c r="VKD1153" s="14"/>
      <c r="VKE1153" s="14"/>
      <c r="VKF1153" s="14"/>
      <c r="VKG1153" s="14"/>
      <c r="VKH1153" s="14"/>
      <c r="VKI1153" s="14"/>
      <c r="VKJ1153" s="14"/>
      <c r="VKK1153" s="14"/>
      <c r="VKL1153" s="14"/>
      <c r="VKM1153" s="14"/>
      <c r="VKN1153" s="14"/>
      <c r="VKO1153" s="14"/>
      <c r="VKP1153" s="14"/>
      <c r="VKQ1153" s="14"/>
      <c r="VKR1153" s="14"/>
      <c r="VKS1153" s="14"/>
      <c r="VKT1153" s="14"/>
      <c r="VKU1153" s="14"/>
      <c r="VKV1153" s="14"/>
      <c r="VKW1153" s="14"/>
      <c r="VKX1153" s="14"/>
      <c r="VKY1153" s="14"/>
      <c r="VKZ1153" s="14"/>
      <c r="VLA1153" s="14"/>
      <c r="VLB1153" s="14"/>
      <c r="VLC1153" s="14"/>
      <c r="VLD1153" s="14"/>
      <c r="VLE1153" s="14"/>
      <c r="VLF1153" s="14"/>
      <c r="VLG1153" s="14"/>
      <c r="VLH1153" s="14"/>
      <c r="VLI1153" s="14"/>
      <c r="VLJ1153" s="14"/>
      <c r="VLK1153" s="14"/>
      <c r="VLL1153" s="14"/>
      <c r="VLM1153" s="14"/>
      <c r="VLN1153" s="14"/>
      <c r="VLO1153" s="14"/>
      <c r="VLP1153" s="14"/>
      <c r="VLQ1153" s="14"/>
      <c r="VLR1153" s="14"/>
      <c r="VLS1153" s="14"/>
      <c r="VLT1153" s="14"/>
      <c r="VLU1153" s="14"/>
      <c r="VLV1153" s="14"/>
      <c r="VLW1153" s="14"/>
      <c r="VLX1153" s="14"/>
      <c r="VLY1153" s="14"/>
      <c r="VLZ1153" s="14"/>
      <c r="VMA1153" s="14"/>
      <c r="VMB1153" s="14"/>
      <c r="VMC1153" s="14"/>
      <c r="VMD1153" s="14"/>
      <c r="VME1153" s="14"/>
      <c r="VMF1153" s="14"/>
      <c r="VMG1153" s="14"/>
      <c r="VMH1153" s="14"/>
      <c r="VMI1153" s="14"/>
      <c r="VMJ1153" s="14"/>
      <c r="VMK1153" s="14"/>
      <c r="VML1153" s="14"/>
      <c r="VMM1153" s="14"/>
      <c r="VMN1153" s="14"/>
      <c r="VMO1153" s="14"/>
      <c r="VMP1153" s="14"/>
      <c r="VMQ1153" s="14"/>
      <c r="VMR1153" s="14"/>
      <c r="VMS1153" s="14"/>
      <c r="VMT1153" s="14"/>
      <c r="VMU1153" s="14"/>
      <c r="VMV1153" s="14"/>
      <c r="VMW1153" s="14"/>
      <c r="VMX1153" s="14"/>
      <c r="VMY1153" s="14"/>
      <c r="VMZ1153" s="14"/>
      <c r="VNA1153" s="14"/>
      <c r="VNB1153" s="14"/>
      <c r="VNC1153" s="14"/>
      <c r="VND1153" s="14"/>
      <c r="VNE1153" s="14"/>
      <c r="VNF1153" s="14"/>
      <c r="VNG1153" s="14"/>
      <c r="VNH1153" s="14"/>
      <c r="VNI1153" s="14"/>
      <c r="VNJ1153" s="14"/>
      <c r="VNK1153" s="14"/>
      <c r="VNL1153" s="14"/>
      <c r="VNM1153" s="14"/>
      <c r="VNN1153" s="14"/>
      <c r="VNO1153" s="14"/>
      <c r="VNP1153" s="14"/>
      <c r="VNQ1153" s="14"/>
      <c r="VNR1153" s="14"/>
      <c r="VNS1153" s="14"/>
      <c r="VNT1153" s="14"/>
      <c r="VNU1153" s="14"/>
      <c r="VNV1153" s="14"/>
      <c r="VNW1153" s="14"/>
      <c r="VNX1153" s="14"/>
      <c r="VNY1153" s="14"/>
      <c r="VNZ1153" s="14"/>
      <c r="VOA1153" s="14"/>
      <c r="VOB1153" s="14"/>
      <c r="VOC1153" s="14"/>
      <c r="VOD1153" s="14"/>
      <c r="VOE1153" s="14"/>
      <c r="VOF1153" s="14"/>
      <c r="VOG1153" s="14"/>
      <c r="VOH1153" s="14"/>
      <c r="VOI1153" s="14"/>
      <c r="VOJ1153" s="14"/>
      <c r="VOK1153" s="14"/>
      <c r="VOL1153" s="14"/>
      <c r="VOM1153" s="14"/>
      <c r="VON1153" s="14"/>
      <c r="VOO1153" s="14"/>
      <c r="VOP1153" s="14"/>
      <c r="VOQ1153" s="14"/>
      <c r="VOR1153" s="14"/>
      <c r="VOS1153" s="14"/>
      <c r="VOT1153" s="14"/>
      <c r="VOU1153" s="14"/>
      <c r="VOV1153" s="14"/>
      <c r="VOW1153" s="14"/>
      <c r="VOX1153" s="14"/>
      <c r="VOY1153" s="14"/>
      <c r="VOZ1153" s="14"/>
      <c r="VPA1153" s="14"/>
      <c r="VPB1153" s="14"/>
      <c r="VPC1153" s="14"/>
      <c r="VPD1153" s="14"/>
      <c r="VPE1153" s="14"/>
      <c r="VPF1153" s="14"/>
      <c r="VPG1153" s="14"/>
      <c r="VPH1153" s="14"/>
      <c r="VPI1153" s="14"/>
      <c r="VPJ1153" s="14"/>
      <c r="VPK1153" s="14"/>
      <c r="VPL1153" s="14"/>
      <c r="VPM1153" s="14"/>
      <c r="VPN1153" s="14"/>
      <c r="VPO1153" s="14"/>
      <c r="VPP1153" s="14"/>
      <c r="VPQ1153" s="14"/>
      <c r="VPR1153" s="14"/>
      <c r="VPS1153" s="14"/>
      <c r="VPT1153" s="14"/>
      <c r="VPU1153" s="14"/>
      <c r="VPV1153" s="14"/>
      <c r="VPW1153" s="14"/>
      <c r="VPX1153" s="14"/>
      <c r="VPY1153" s="14"/>
      <c r="VPZ1153" s="14"/>
      <c r="VQA1153" s="14"/>
      <c r="VQB1153" s="14"/>
      <c r="VQC1153" s="14"/>
      <c r="VQD1153" s="14"/>
      <c r="VQE1153" s="14"/>
      <c r="VQF1153" s="14"/>
      <c r="VQG1153" s="14"/>
      <c r="VQH1153" s="14"/>
      <c r="VQI1153" s="14"/>
      <c r="VQJ1153" s="14"/>
      <c r="VQK1153" s="14"/>
      <c r="VQL1153" s="14"/>
      <c r="VQM1153" s="14"/>
      <c r="VQN1153" s="14"/>
      <c r="VQO1153" s="14"/>
      <c r="VQP1153" s="14"/>
      <c r="VQQ1153" s="14"/>
      <c r="VQR1153" s="14"/>
      <c r="VQS1153" s="14"/>
      <c r="VQT1153" s="14"/>
      <c r="VQU1153" s="14"/>
      <c r="VQV1153" s="14"/>
      <c r="VQW1153" s="14"/>
      <c r="VQX1153" s="14"/>
      <c r="VQY1153" s="14"/>
      <c r="VQZ1153" s="14"/>
      <c r="VRA1153" s="14"/>
      <c r="VRB1153" s="14"/>
      <c r="VRC1153" s="14"/>
      <c r="VRD1153" s="14"/>
      <c r="VRE1153" s="14"/>
      <c r="VRF1153" s="14"/>
      <c r="VRG1153" s="14"/>
      <c r="VRH1153" s="14"/>
      <c r="VRI1153" s="14"/>
      <c r="VRJ1153" s="14"/>
      <c r="VRK1153" s="14"/>
      <c r="VRL1153" s="14"/>
      <c r="VRM1153" s="14"/>
      <c r="VRN1153" s="14"/>
      <c r="VRO1153" s="14"/>
      <c r="VRP1153" s="14"/>
      <c r="VRQ1153" s="14"/>
      <c r="VRR1153" s="14"/>
      <c r="VRS1153" s="14"/>
      <c r="VRT1153" s="14"/>
      <c r="VRU1153" s="14"/>
      <c r="VRV1153" s="14"/>
      <c r="VRW1153" s="14"/>
      <c r="VRX1153" s="14"/>
      <c r="VRY1153" s="14"/>
      <c r="VRZ1153" s="14"/>
      <c r="VSA1153" s="14"/>
      <c r="VSB1153" s="14"/>
      <c r="VSC1153" s="14"/>
      <c r="VSD1153" s="14"/>
      <c r="VSE1153" s="14"/>
      <c r="VSF1153" s="14"/>
      <c r="VSG1153" s="14"/>
      <c r="VSH1153" s="14"/>
      <c r="VSI1153" s="14"/>
      <c r="VSJ1153" s="14"/>
      <c r="VSK1153" s="14"/>
      <c r="VSL1153" s="14"/>
      <c r="VSM1153" s="14"/>
      <c r="VSN1153" s="14"/>
      <c r="VSO1153" s="14"/>
      <c r="VSP1153" s="14"/>
      <c r="VSQ1153" s="14"/>
      <c r="VSR1153" s="14"/>
      <c r="VSS1153" s="14"/>
      <c r="VST1153" s="14"/>
      <c r="VSU1153" s="14"/>
      <c r="VSV1153" s="14"/>
      <c r="VSW1153" s="14"/>
      <c r="VSX1153" s="14"/>
      <c r="VSY1153" s="14"/>
      <c r="VSZ1153" s="14"/>
      <c r="VTA1153" s="14"/>
      <c r="VTB1153" s="14"/>
      <c r="VTC1153" s="14"/>
      <c r="VTD1153" s="14"/>
      <c r="VTE1153" s="14"/>
      <c r="VTF1153" s="14"/>
      <c r="VTG1153" s="14"/>
      <c r="VTH1153" s="14"/>
      <c r="VTI1153" s="14"/>
      <c r="VTJ1153" s="14"/>
      <c r="VTK1153" s="14"/>
      <c r="VTL1153" s="14"/>
      <c r="VTM1153" s="14"/>
      <c r="VTN1153" s="14"/>
      <c r="VTO1153" s="14"/>
      <c r="VTP1153" s="14"/>
      <c r="VTQ1153" s="14"/>
      <c r="VTR1153" s="14"/>
      <c r="VTS1153" s="14"/>
      <c r="VTT1153" s="14"/>
      <c r="VTU1153" s="14"/>
      <c r="VTV1153" s="14"/>
      <c r="VTW1153" s="14"/>
      <c r="VTX1153" s="14"/>
      <c r="VTY1153" s="14"/>
      <c r="VTZ1153" s="14"/>
      <c r="VUA1153" s="14"/>
      <c r="VUB1153" s="14"/>
      <c r="VUC1153" s="14"/>
      <c r="VUD1153" s="14"/>
      <c r="VUE1153" s="14"/>
      <c r="VUF1153" s="14"/>
      <c r="VUG1153" s="14"/>
      <c r="VUH1153" s="14"/>
      <c r="VUI1153" s="14"/>
      <c r="VUJ1153" s="14"/>
      <c r="VUK1153" s="14"/>
      <c r="VUL1153" s="14"/>
      <c r="VUM1153" s="14"/>
      <c r="VUN1153" s="14"/>
      <c r="VUO1153" s="14"/>
      <c r="VUP1153" s="14"/>
      <c r="VUQ1153" s="14"/>
      <c r="VUR1153" s="14"/>
      <c r="VUS1153" s="14"/>
      <c r="VUT1153" s="14"/>
      <c r="VUU1153" s="14"/>
      <c r="VUV1153" s="14"/>
      <c r="VUW1153" s="14"/>
      <c r="VUX1153" s="14"/>
      <c r="VUY1153" s="14"/>
      <c r="VUZ1153" s="14"/>
      <c r="VVA1153" s="14"/>
      <c r="VVB1153" s="14"/>
      <c r="VVC1153" s="14"/>
      <c r="VVD1153" s="14"/>
      <c r="VVE1153" s="14"/>
      <c r="VVF1153" s="14"/>
      <c r="VVG1153" s="14"/>
      <c r="VVH1153" s="14"/>
      <c r="VVI1153" s="14"/>
      <c r="VVJ1153" s="14"/>
      <c r="VVK1153" s="14"/>
      <c r="VVL1153" s="14"/>
      <c r="VVM1153" s="14"/>
      <c r="VVN1153" s="14"/>
      <c r="VVO1153" s="14"/>
      <c r="VVP1153" s="14"/>
      <c r="VVQ1153" s="14"/>
      <c r="VVR1153" s="14"/>
      <c r="VVS1153" s="14"/>
      <c r="VVT1153" s="14"/>
      <c r="VVU1153" s="14"/>
      <c r="VVV1153" s="14"/>
      <c r="VVW1153" s="14"/>
      <c r="VVX1153" s="14"/>
      <c r="VVY1153" s="14"/>
      <c r="VVZ1153" s="14"/>
      <c r="VWA1153" s="14"/>
      <c r="VWB1153" s="14"/>
      <c r="VWC1153" s="14"/>
      <c r="VWD1153" s="14"/>
      <c r="VWE1153" s="14"/>
      <c r="VWF1153" s="14"/>
      <c r="VWG1153" s="14"/>
      <c r="VWH1153" s="14"/>
      <c r="VWI1153" s="14"/>
      <c r="VWJ1153" s="14"/>
      <c r="VWK1153" s="14"/>
      <c r="VWL1153" s="14"/>
      <c r="VWM1153" s="14"/>
      <c r="VWN1153" s="14"/>
      <c r="VWO1153" s="14"/>
      <c r="VWP1153" s="14"/>
      <c r="VWQ1153" s="14"/>
      <c r="VWR1153" s="14"/>
      <c r="VWS1153" s="14"/>
      <c r="VWT1153" s="14"/>
      <c r="VWU1153" s="14"/>
      <c r="VWV1153" s="14"/>
      <c r="VWW1153" s="14"/>
      <c r="VWX1153" s="14"/>
      <c r="VWY1153" s="14"/>
      <c r="VWZ1153" s="14"/>
      <c r="VXA1153" s="14"/>
      <c r="VXB1153" s="14"/>
      <c r="VXC1153" s="14"/>
      <c r="VXD1153" s="14"/>
      <c r="VXE1153" s="14"/>
      <c r="VXF1153" s="14"/>
      <c r="VXG1153" s="14"/>
      <c r="VXH1153" s="14"/>
      <c r="VXI1153" s="14"/>
      <c r="VXJ1153" s="14"/>
      <c r="VXK1153" s="14"/>
      <c r="VXL1153" s="14"/>
      <c r="VXM1153" s="14"/>
      <c r="VXN1153" s="14"/>
      <c r="VXO1153" s="14"/>
      <c r="VXP1153" s="14"/>
      <c r="VXQ1153" s="14"/>
      <c r="VXR1153" s="14"/>
      <c r="VXS1153" s="14"/>
      <c r="VXT1153" s="14"/>
      <c r="VXU1153" s="14"/>
      <c r="VXV1153" s="14"/>
      <c r="VXW1153" s="14"/>
      <c r="VXX1153" s="14"/>
      <c r="VXY1153" s="14"/>
      <c r="VXZ1153" s="14"/>
      <c r="VYA1153" s="14"/>
      <c r="VYB1153" s="14"/>
      <c r="VYC1153" s="14"/>
      <c r="VYD1153" s="14"/>
      <c r="VYE1153" s="14"/>
      <c r="VYF1153" s="14"/>
      <c r="VYG1153" s="14"/>
      <c r="VYH1153" s="14"/>
      <c r="VYI1153" s="14"/>
      <c r="VYJ1153" s="14"/>
      <c r="VYK1153" s="14"/>
      <c r="VYL1153" s="14"/>
      <c r="VYM1153" s="14"/>
      <c r="VYN1153" s="14"/>
      <c r="VYO1153" s="14"/>
      <c r="VYP1153" s="14"/>
      <c r="VYQ1153" s="14"/>
      <c r="VYR1153" s="14"/>
      <c r="VYS1153" s="14"/>
      <c r="VYT1153" s="14"/>
      <c r="VYU1153" s="14"/>
      <c r="VYV1153" s="14"/>
      <c r="VYW1153" s="14"/>
      <c r="VYX1153" s="14"/>
      <c r="VYY1153" s="14"/>
      <c r="VYZ1153" s="14"/>
      <c r="VZA1153" s="14"/>
      <c r="VZB1153" s="14"/>
      <c r="VZC1153" s="14"/>
      <c r="VZD1153" s="14"/>
      <c r="VZE1153" s="14"/>
      <c r="VZF1153" s="14"/>
      <c r="VZG1153" s="14"/>
      <c r="VZH1153" s="14"/>
      <c r="VZI1153" s="14"/>
      <c r="VZJ1153" s="14"/>
      <c r="VZK1153" s="14"/>
      <c r="VZL1153" s="14"/>
      <c r="VZM1153" s="14"/>
      <c r="VZN1153" s="14"/>
      <c r="VZO1153" s="14"/>
      <c r="VZP1153" s="14"/>
      <c r="VZQ1153" s="14"/>
      <c r="VZR1153" s="14"/>
      <c r="VZS1153" s="14"/>
      <c r="VZT1153" s="14"/>
      <c r="VZU1153" s="14"/>
      <c r="VZV1153" s="14"/>
      <c r="VZW1153" s="14"/>
      <c r="VZX1153" s="14"/>
      <c r="VZY1153" s="14"/>
      <c r="VZZ1153" s="14"/>
      <c r="WAA1153" s="14"/>
      <c r="WAB1153" s="14"/>
      <c r="WAC1153" s="14"/>
      <c r="WAD1153" s="14"/>
      <c r="WAE1153" s="14"/>
      <c r="WAF1153" s="14"/>
      <c r="WAG1153" s="14"/>
      <c r="WAH1153" s="14"/>
      <c r="WAI1153" s="14"/>
      <c r="WAJ1153" s="14"/>
      <c r="WAK1153" s="14"/>
      <c r="WAL1153" s="14"/>
      <c r="WAM1153" s="14"/>
      <c r="WAN1153" s="14"/>
      <c r="WAO1153" s="14"/>
      <c r="WAP1153" s="14"/>
      <c r="WAQ1153" s="14"/>
      <c r="WAR1153" s="14"/>
      <c r="WAS1153" s="14"/>
      <c r="WAT1153" s="14"/>
      <c r="WAU1153" s="14"/>
      <c r="WAV1153" s="14"/>
      <c r="WAW1153" s="14"/>
      <c r="WAX1153" s="14"/>
      <c r="WAY1153" s="14"/>
      <c r="WAZ1153" s="14"/>
      <c r="WBA1153" s="14"/>
      <c r="WBB1153" s="14"/>
      <c r="WBC1153" s="14"/>
      <c r="WBD1153" s="14"/>
      <c r="WBE1153" s="14"/>
      <c r="WBF1153" s="14"/>
      <c r="WBG1153" s="14"/>
      <c r="WBH1153" s="14"/>
      <c r="WBI1153" s="14"/>
      <c r="WBJ1153" s="14"/>
      <c r="WBK1153" s="14"/>
      <c r="WBL1153" s="14"/>
      <c r="WBM1153" s="14"/>
      <c r="WBN1153" s="14"/>
      <c r="WBO1153" s="14"/>
      <c r="WBP1153" s="14"/>
      <c r="WBQ1153" s="14"/>
      <c r="WBR1153" s="14"/>
      <c r="WBS1153" s="14"/>
      <c r="WBT1153" s="14"/>
      <c r="WBU1153" s="14"/>
      <c r="WBV1153" s="14"/>
      <c r="WBW1153" s="14"/>
      <c r="WBX1153" s="14"/>
      <c r="WBY1153" s="14"/>
      <c r="WBZ1153" s="14"/>
      <c r="WCA1153" s="14"/>
      <c r="WCB1153" s="14"/>
      <c r="WCC1153" s="14"/>
      <c r="WCD1153" s="14"/>
      <c r="WCE1153" s="14"/>
      <c r="WCF1153" s="14"/>
      <c r="WCG1153" s="14"/>
      <c r="WCH1153" s="14"/>
      <c r="WCI1153" s="14"/>
      <c r="WCJ1153" s="14"/>
      <c r="WCK1153" s="14"/>
      <c r="WCL1153" s="14"/>
      <c r="WCM1153" s="14"/>
      <c r="WCN1153" s="14"/>
      <c r="WCO1153" s="14"/>
      <c r="WCP1153" s="14"/>
      <c r="WCQ1153" s="14"/>
      <c r="WCR1153" s="14"/>
      <c r="WCS1153" s="14"/>
      <c r="WCT1153" s="14"/>
      <c r="WCU1153" s="14"/>
      <c r="WCV1153" s="14"/>
      <c r="WCW1153" s="14"/>
      <c r="WCX1153" s="14"/>
      <c r="WCY1153" s="14"/>
      <c r="WCZ1153" s="14"/>
      <c r="WDA1153" s="14"/>
      <c r="WDB1153" s="14"/>
      <c r="WDC1153" s="14"/>
      <c r="WDD1153" s="14"/>
      <c r="WDE1153" s="14"/>
      <c r="WDF1153" s="14"/>
      <c r="WDG1153" s="14"/>
      <c r="WDH1153" s="14"/>
      <c r="WDI1153" s="14"/>
      <c r="WDJ1153" s="14"/>
      <c r="WDK1153" s="14"/>
      <c r="WDL1153" s="14"/>
      <c r="WDM1153" s="14"/>
      <c r="WDN1153" s="14"/>
      <c r="WDO1153" s="14"/>
      <c r="WDP1153" s="14"/>
      <c r="WDQ1153" s="14"/>
      <c r="WDR1153" s="14"/>
      <c r="WDS1153" s="14"/>
      <c r="WDT1153" s="14"/>
      <c r="WDU1153" s="14"/>
      <c r="WDV1153" s="14"/>
      <c r="WDW1153" s="14"/>
      <c r="WDX1153" s="14"/>
      <c r="WDY1153" s="14"/>
      <c r="WDZ1153" s="14"/>
      <c r="WEA1153" s="14"/>
      <c r="WEB1153" s="14"/>
      <c r="WEC1153" s="14"/>
      <c r="WED1153" s="14"/>
      <c r="WEE1153" s="14"/>
      <c r="WEF1153" s="14"/>
      <c r="WEG1153" s="14"/>
      <c r="WEH1153" s="14"/>
      <c r="WEI1153" s="14"/>
      <c r="WEJ1153" s="14"/>
      <c r="WEK1153" s="14"/>
      <c r="WEL1153" s="14"/>
      <c r="WEM1153" s="14"/>
      <c r="WEN1153" s="14"/>
      <c r="WEO1153" s="14"/>
      <c r="WEP1153" s="14"/>
      <c r="WEQ1153" s="14"/>
      <c r="WER1153" s="14"/>
      <c r="WES1153" s="14"/>
      <c r="WET1153" s="14"/>
      <c r="WEU1153" s="14"/>
      <c r="WEV1153" s="14"/>
      <c r="WEW1153" s="14"/>
      <c r="WEX1153" s="14"/>
      <c r="WEY1153" s="14"/>
      <c r="WEZ1153" s="14"/>
      <c r="WFA1153" s="14"/>
      <c r="WFB1153" s="14"/>
      <c r="WFC1153" s="14"/>
      <c r="WFD1153" s="14"/>
      <c r="WFE1153" s="14"/>
      <c r="WFF1153" s="14"/>
      <c r="WFG1153" s="14"/>
      <c r="WFH1153" s="14"/>
      <c r="WFI1153" s="14"/>
      <c r="WFJ1153" s="14"/>
      <c r="WFK1153" s="14"/>
      <c r="WFL1153" s="14"/>
      <c r="WFM1153" s="14"/>
      <c r="WFN1153" s="14"/>
      <c r="WFO1153" s="14"/>
      <c r="WFP1153" s="14"/>
      <c r="WFQ1153" s="14"/>
      <c r="WFR1153" s="14"/>
      <c r="WFS1153" s="14"/>
      <c r="WFT1153" s="14"/>
      <c r="WFU1153" s="14"/>
      <c r="WFV1153" s="14"/>
      <c r="WFW1153" s="14"/>
      <c r="WFX1153" s="14"/>
      <c r="WFY1153" s="14"/>
      <c r="WFZ1153" s="14"/>
      <c r="WGA1153" s="14"/>
      <c r="WGB1153" s="14"/>
      <c r="WGC1153" s="14"/>
      <c r="WGD1153" s="14"/>
      <c r="WGE1153" s="14"/>
      <c r="WGF1153" s="14"/>
      <c r="WGG1153" s="14"/>
      <c r="WGH1153" s="14"/>
      <c r="WGI1153" s="14"/>
      <c r="WGJ1153" s="14"/>
      <c r="WGK1153" s="14"/>
      <c r="WGL1153" s="14"/>
      <c r="WGM1153" s="14"/>
      <c r="WGN1153" s="14"/>
      <c r="WGO1153" s="14"/>
      <c r="WGP1153" s="14"/>
      <c r="WGQ1153" s="14"/>
      <c r="WGR1153" s="14"/>
      <c r="WGS1153" s="14"/>
      <c r="WGT1153" s="14"/>
      <c r="WGU1153" s="14"/>
      <c r="WGV1153" s="14"/>
      <c r="WGW1153" s="14"/>
      <c r="WGX1153" s="14"/>
      <c r="WGY1153" s="14"/>
      <c r="WGZ1153" s="14"/>
      <c r="WHA1153" s="14"/>
      <c r="WHB1153" s="14"/>
      <c r="WHC1153" s="14"/>
      <c r="WHD1153" s="14"/>
      <c r="WHE1153" s="14"/>
      <c r="WHF1153" s="14"/>
      <c r="WHG1153" s="14"/>
      <c r="WHH1153" s="14"/>
      <c r="WHI1153" s="14"/>
      <c r="WHJ1153" s="14"/>
      <c r="WHK1153" s="14"/>
      <c r="WHL1153" s="14"/>
      <c r="WHM1153" s="14"/>
      <c r="WHN1153" s="14"/>
      <c r="WHO1153" s="14"/>
      <c r="WHP1153" s="14"/>
      <c r="WHQ1153" s="14"/>
      <c r="WHR1153" s="14"/>
      <c r="WHS1153" s="14"/>
      <c r="WHT1153" s="14"/>
      <c r="WHU1153" s="14"/>
      <c r="WHV1153" s="14"/>
      <c r="WHW1153" s="14"/>
      <c r="WHX1153" s="14"/>
      <c r="WHY1153" s="14"/>
      <c r="WHZ1153" s="14"/>
      <c r="WIA1153" s="14"/>
      <c r="WIB1153" s="14"/>
      <c r="WIC1153" s="14"/>
      <c r="WID1153" s="14"/>
      <c r="WIE1153" s="14"/>
      <c r="WIF1153" s="14"/>
      <c r="WIG1153" s="14"/>
      <c r="WIH1153" s="14"/>
      <c r="WII1153" s="14"/>
      <c r="WIJ1153" s="14"/>
      <c r="WIK1153" s="14"/>
      <c r="WIL1153" s="14"/>
      <c r="WIM1153" s="14"/>
      <c r="WIN1153" s="14"/>
      <c r="WIO1153" s="14"/>
      <c r="WIP1153" s="14"/>
      <c r="WIQ1153" s="14"/>
      <c r="WIR1153" s="14"/>
      <c r="WIS1153" s="14"/>
      <c r="WIT1153" s="14"/>
      <c r="WIU1153" s="14"/>
      <c r="WIV1153" s="14"/>
      <c r="WIW1153" s="14"/>
      <c r="WIX1153" s="14"/>
      <c r="WIY1153" s="14"/>
      <c r="WIZ1153" s="14"/>
      <c r="WJA1153" s="14"/>
      <c r="WJB1153" s="14"/>
      <c r="WJC1153" s="14"/>
      <c r="WJD1153" s="14"/>
      <c r="WJE1153" s="14"/>
      <c r="WJF1153" s="14"/>
      <c r="WJG1153" s="14"/>
      <c r="WJH1153" s="14"/>
      <c r="WJI1153" s="14"/>
      <c r="WJJ1153" s="14"/>
      <c r="WJK1153" s="14"/>
      <c r="WJL1153" s="14"/>
      <c r="WJM1153" s="14"/>
      <c r="WJN1153" s="14"/>
      <c r="WJO1153" s="14"/>
      <c r="WJP1153" s="14"/>
      <c r="WJQ1153" s="14"/>
      <c r="WJR1153" s="14"/>
      <c r="WJS1153" s="14"/>
      <c r="WJT1153" s="14"/>
      <c r="WJU1153" s="14"/>
      <c r="WJV1153" s="14"/>
      <c r="WJW1153" s="14"/>
      <c r="WJX1153" s="14"/>
      <c r="WJY1153" s="14"/>
      <c r="WJZ1153" s="14"/>
      <c r="WKA1153" s="14"/>
      <c r="WKB1153" s="14"/>
      <c r="WKC1153" s="14"/>
      <c r="WKD1153" s="14"/>
      <c r="WKE1153" s="14"/>
      <c r="WKF1153" s="14"/>
      <c r="WKG1153" s="14"/>
      <c r="WKH1153" s="14"/>
      <c r="WKI1153" s="14"/>
      <c r="WKJ1153" s="14"/>
      <c r="WKK1153" s="14"/>
      <c r="WKL1153" s="14"/>
      <c r="WKM1153" s="14"/>
      <c r="WKN1153" s="14"/>
      <c r="WKO1153" s="14"/>
      <c r="WKP1153" s="14"/>
      <c r="WKQ1153" s="14"/>
      <c r="WKR1153" s="14"/>
      <c r="WKS1153" s="14"/>
      <c r="WKT1153" s="14"/>
      <c r="WKU1153" s="14"/>
      <c r="WKV1153" s="14"/>
      <c r="WKW1153" s="14"/>
      <c r="WKX1153" s="14"/>
      <c r="WKY1153" s="14"/>
      <c r="WKZ1153" s="14"/>
      <c r="WLA1153" s="14"/>
      <c r="WLB1153" s="14"/>
      <c r="WLC1153" s="14"/>
      <c r="WLD1153" s="14"/>
      <c r="WLE1153" s="14"/>
      <c r="WLF1153" s="14"/>
      <c r="WLG1153" s="14"/>
      <c r="WLH1153" s="14"/>
      <c r="WLI1153" s="14"/>
      <c r="WLJ1153" s="14"/>
      <c r="WLK1153" s="14"/>
      <c r="WLL1153" s="14"/>
      <c r="WLM1153" s="14"/>
      <c r="WLN1153" s="14"/>
      <c r="WLO1153" s="14"/>
      <c r="WLP1153" s="14"/>
      <c r="WLQ1153" s="14"/>
      <c r="WLR1153" s="14"/>
      <c r="WLS1153" s="14"/>
      <c r="WLT1153" s="14"/>
      <c r="WLU1153" s="14"/>
      <c r="WLV1153" s="14"/>
      <c r="WLW1153" s="14"/>
      <c r="WLX1153" s="14"/>
      <c r="WLY1153" s="14"/>
      <c r="WLZ1153" s="14"/>
      <c r="WMA1153" s="14"/>
      <c r="WMB1153" s="14"/>
      <c r="WMC1153" s="14"/>
      <c r="WMD1153" s="14"/>
      <c r="WME1153" s="14"/>
      <c r="WMF1153" s="14"/>
      <c r="WMG1153" s="14"/>
      <c r="WMH1153" s="14"/>
      <c r="WMI1153" s="14"/>
      <c r="WMJ1153" s="14"/>
      <c r="WMK1153" s="14"/>
      <c r="WML1153" s="14"/>
      <c r="WMM1153" s="14"/>
      <c r="WMN1153" s="14"/>
      <c r="WMO1153" s="14"/>
      <c r="WMP1153" s="14"/>
      <c r="WMQ1153" s="14"/>
      <c r="WMR1153" s="14"/>
      <c r="WMS1153" s="14"/>
      <c r="WMT1153" s="14"/>
      <c r="WMU1153" s="14"/>
      <c r="WMV1153" s="14"/>
      <c r="WMW1153" s="14"/>
      <c r="WMX1153" s="14"/>
      <c r="WMY1153" s="14"/>
      <c r="WMZ1153" s="14"/>
      <c r="WNA1153" s="14"/>
      <c r="WNB1153" s="14"/>
      <c r="WNC1153" s="14"/>
      <c r="WND1153" s="14"/>
      <c r="WNE1153" s="14"/>
      <c r="WNF1153" s="14"/>
      <c r="WNG1153" s="14"/>
      <c r="WNH1153" s="14"/>
      <c r="WNI1153" s="14"/>
      <c r="WNJ1153" s="14"/>
      <c r="WNK1153" s="14"/>
      <c r="WNL1153" s="14"/>
      <c r="WNM1153" s="14"/>
      <c r="WNN1153" s="14"/>
      <c r="WNO1153" s="14"/>
      <c r="WNP1153" s="14"/>
      <c r="WNQ1153" s="14"/>
      <c r="WNR1153" s="14"/>
      <c r="WNS1153" s="14"/>
      <c r="WNT1153" s="14"/>
      <c r="WNU1153" s="14"/>
      <c r="WNV1153" s="14"/>
      <c r="WNW1153" s="14"/>
      <c r="WNX1153" s="14"/>
      <c r="WNY1153" s="14"/>
      <c r="WNZ1153" s="14"/>
      <c r="WOA1153" s="14"/>
      <c r="WOB1153" s="14"/>
      <c r="WOC1153" s="14"/>
      <c r="WOD1153" s="14"/>
      <c r="WOE1153" s="14"/>
      <c r="WOF1153" s="14"/>
      <c r="WOG1153" s="14"/>
      <c r="WOH1153" s="14"/>
      <c r="WOI1153" s="14"/>
      <c r="WOJ1153" s="14"/>
      <c r="WOK1153" s="14"/>
      <c r="WOL1153" s="14"/>
      <c r="WOM1153" s="14"/>
      <c r="WON1153" s="14"/>
      <c r="WOO1153" s="14"/>
      <c r="WOP1153" s="14"/>
      <c r="WOQ1153" s="14"/>
      <c r="WOR1153" s="14"/>
      <c r="WOS1153" s="14"/>
      <c r="WOT1153" s="14"/>
      <c r="WOU1153" s="14"/>
      <c r="WOV1153" s="14"/>
      <c r="WOW1153" s="14"/>
      <c r="WOX1153" s="14"/>
      <c r="WOY1153" s="14"/>
      <c r="WOZ1153" s="14"/>
      <c r="WPA1153" s="14"/>
      <c r="WPB1153" s="14"/>
      <c r="WPC1153" s="14"/>
      <c r="WPD1153" s="14"/>
      <c r="WPE1153" s="14"/>
      <c r="WPF1153" s="14"/>
      <c r="WPG1153" s="14"/>
      <c r="WPH1153" s="14"/>
      <c r="WPI1153" s="14"/>
      <c r="WPJ1153" s="14"/>
      <c r="WPK1153" s="14"/>
      <c r="WPL1153" s="14"/>
      <c r="WPM1153" s="14"/>
      <c r="WPN1153" s="14"/>
      <c r="WPO1153" s="14"/>
      <c r="WPP1153" s="14"/>
      <c r="WPQ1153" s="14"/>
      <c r="WPR1153" s="14"/>
      <c r="WPS1153" s="14"/>
      <c r="WPT1153" s="14"/>
      <c r="WPU1153" s="14"/>
      <c r="WPV1153" s="14"/>
      <c r="WPW1153" s="14"/>
      <c r="WPX1153" s="14"/>
      <c r="WPY1153" s="14"/>
      <c r="WPZ1153" s="14"/>
      <c r="WQA1153" s="14"/>
      <c r="WQB1153" s="14"/>
      <c r="WQC1153" s="14"/>
      <c r="WQD1153" s="14"/>
      <c r="WQE1153" s="14"/>
      <c r="WQF1153" s="14"/>
      <c r="WQG1153" s="14"/>
      <c r="WQH1153" s="14"/>
      <c r="WQI1153" s="14"/>
      <c r="WQJ1153" s="14"/>
      <c r="WQK1153" s="14"/>
      <c r="WQL1153" s="14"/>
      <c r="WQM1153" s="14"/>
      <c r="WQN1153" s="14"/>
      <c r="WQO1153" s="14"/>
      <c r="WQP1153" s="14"/>
      <c r="WQQ1153" s="14"/>
      <c r="WQR1153" s="14"/>
      <c r="WQS1153" s="14"/>
      <c r="WQT1153" s="14"/>
      <c r="WQU1153" s="14"/>
      <c r="WQV1153" s="14"/>
      <c r="WQW1153" s="14"/>
      <c r="WQX1153" s="14"/>
      <c r="WQY1153" s="14"/>
      <c r="WQZ1153" s="14"/>
      <c r="WRA1153" s="14"/>
      <c r="WRB1153" s="14"/>
      <c r="WRC1153" s="14"/>
      <c r="WRD1153" s="14"/>
      <c r="WRE1153" s="14"/>
      <c r="WRF1153" s="14"/>
      <c r="WRG1153" s="14"/>
      <c r="WRH1153" s="14"/>
      <c r="WRI1153" s="14"/>
      <c r="WRJ1153" s="14"/>
      <c r="WRK1153" s="14"/>
      <c r="WRL1153" s="14"/>
      <c r="WRM1153" s="14"/>
      <c r="WRN1153" s="14"/>
      <c r="WRO1153" s="14"/>
      <c r="WRP1153" s="14"/>
      <c r="WRQ1153" s="14"/>
      <c r="WRR1153" s="14"/>
      <c r="WRS1153" s="14"/>
      <c r="WRT1153" s="14"/>
      <c r="WRU1153" s="14"/>
      <c r="WRV1153" s="14"/>
      <c r="WRW1153" s="14"/>
      <c r="WRX1153" s="14"/>
      <c r="WRY1153" s="14"/>
      <c r="WRZ1153" s="14"/>
      <c r="WSA1153" s="14"/>
      <c r="WSB1153" s="14"/>
      <c r="WSC1153" s="14"/>
      <c r="WSD1153" s="14"/>
      <c r="WSE1153" s="14"/>
      <c r="WSF1153" s="14"/>
      <c r="WSG1153" s="14"/>
      <c r="WSH1153" s="14"/>
      <c r="WSI1153" s="14"/>
      <c r="WSJ1153" s="14"/>
      <c r="WSK1153" s="14"/>
      <c r="WSL1153" s="14"/>
      <c r="WSM1153" s="14"/>
      <c r="WSN1153" s="14"/>
      <c r="WSO1153" s="14"/>
      <c r="WSP1153" s="14"/>
      <c r="WSQ1153" s="14"/>
      <c r="WSR1153" s="14"/>
      <c r="WSS1153" s="14"/>
      <c r="WST1153" s="14"/>
      <c r="WSU1153" s="14"/>
      <c r="WSV1153" s="14"/>
      <c r="WSW1153" s="14"/>
      <c r="WSX1153" s="14"/>
      <c r="WSY1153" s="14"/>
      <c r="WSZ1153" s="14"/>
      <c r="WTA1153" s="14"/>
      <c r="WTB1153" s="14"/>
      <c r="WTC1153" s="14"/>
      <c r="WTD1153" s="14"/>
      <c r="WTE1153" s="14"/>
      <c r="WTF1153" s="14"/>
      <c r="WTG1153" s="14"/>
      <c r="WTH1153" s="14"/>
      <c r="WTI1153" s="14"/>
      <c r="WTJ1153" s="14"/>
      <c r="WTK1153" s="14"/>
      <c r="WTL1153" s="14"/>
      <c r="WTM1153" s="14"/>
      <c r="WTN1153" s="14"/>
      <c r="WTO1153" s="14"/>
      <c r="WTP1153" s="14"/>
      <c r="WTQ1153" s="14"/>
      <c r="WTR1153" s="14"/>
      <c r="WTS1153" s="14"/>
      <c r="WTT1153" s="14"/>
      <c r="WTU1153" s="14"/>
      <c r="WTV1153" s="14"/>
      <c r="WTW1153" s="14"/>
      <c r="WTX1153" s="14"/>
      <c r="WTY1153" s="14"/>
      <c r="WTZ1153" s="14"/>
      <c r="WUA1153" s="14"/>
      <c r="WUB1153" s="14"/>
      <c r="WUC1153" s="14"/>
      <c r="WUD1153" s="14"/>
      <c r="WUE1153" s="14"/>
      <c r="WUF1153" s="14"/>
      <c r="WUG1153" s="14"/>
      <c r="WUH1153" s="14"/>
      <c r="WUI1153" s="14"/>
      <c r="WUJ1153" s="14"/>
      <c r="WUK1153" s="14"/>
      <c r="WUL1153" s="14"/>
      <c r="WUM1153" s="14"/>
      <c r="WUN1153" s="14"/>
      <c r="WUO1153" s="14"/>
      <c r="WUP1153" s="14"/>
      <c r="WUQ1153" s="14"/>
      <c r="WUR1153" s="14"/>
      <c r="WUS1153" s="14"/>
      <c r="WUT1153" s="14"/>
      <c r="WUU1153" s="14"/>
      <c r="WUV1153" s="14"/>
      <c r="WUW1153" s="14"/>
      <c r="WUX1153" s="14"/>
      <c r="WUY1153" s="14"/>
      <c r="WUZ1153" s="14"/>
      <c r="WVA1153" s="14"/>
      <c r="WVB1153" s="14"/>
      <c r="WVC1153" s="14"/>
      <c r="WVD1153" s="14"/>
      <c r="WVE1153" s="14"/>
      <c r="WVF1153" s="14"/>
      <c r="WVG1153" s="14"/>
      <c r="WVH1153" s="14"/>
      <c r="WVI1153" s="14"/>
      <c r="WVJ1153" s="14"/>
      <c r="WVK1153" s="14"/>
      <c r="WVL1153" s="14"/>
      <c r="WVM1153" s="14"/>
      <c r="WVN1153" s="14"/>
      <c r="WVO1153" s="14"/>
      <c r="WVP1153" s="14"/>
      <c r="WVQ1153" s="14"/>
      <c r="WVR1153" s="14"/>
      <c r="WVS1153" s="14"/>
      <c r="WVT1153" s="14"/>
      <c r="WVU1153" s="14"/>
      <c r="WVV1153" s="14"/>
      <c r="WVW1153" s="14"/>
      <c r="WVX1153" s="14"/>
      <c r="WVY1153" s="14"/>
      <c r="WVZ1153" s="14"/>
      <c r="WWA1153" s="14"/>
      <c r="WWB1153" s="14"/>
      <c r="WWC1153" s="14"/>
      <c r="WWD1153" s="14"/>
      <c r="WWE1153" s="14"/>
      <c r="WWF1153" s="14"/>
      <c r="WWG1153" s="14"/>
      <c r="WWH1153" s="14"/>
      <c r="WWI1153" s="14"/>
      <c r="WWJ1153" s="14"/>
      <c r="WWK1153" s="14"/>
      <c r="WWL1153" s="14"/>
      <c r="WWM1153" s="14"/>
      <c r="WWN1153" s="14"/>
      <c r="WWO1153" s="14"/>
      <c r="WWP1153" s="14"/>
      <c r="WWQ1153" s="14"/>
      <c r="WWR1153" s="14"/>
      <c r="WWS1153" s="14"/>
      <c r="WWT1153" s="14"/>
      <c r="WWU1153" s="14"/>
      <c r="WWV1153" s="14"/>
      <c r="WWW1153" s="14"/>
      <c r="WWX1153" s="14"/>
      <c r="WWY1153" s="14"/>
      <c r="WWZ1153" s="14"/>
      <c r="WXA1153" s="14"/>
      <c r="WXB1153" s="14"/>
      <c r="WXC1153" s="14"/>
      <c r="WXD1153" s="14"/>
      <c r="WXE1153" s="14"/>
      <c r="WXF1153" s="14"/>
      <c r="WXG1153" s="14"/>
      <c r="WXH1153" s="14"/>
      <c r="WXI1153" s="14"/>
      <c r="WXJ1153" s="14"/>
      <c r="WXK1153" s="14"/>
      <c r="WXL1153" s="14"/>
      <c r="WXM1153" s="14"/>
      <c r="WXN1153" s="14"/>
      <c r="WXO1153" s="14"/>
      <c r="WXP1153" s="14"/>
      <c r="WXQ1153" s="14"/>
      <c r="WXR1153" s="14"/>
      <c r="WXS1153" s="14"/>
      <c r="WXT1153" s="14"/>
      <c r="WXU1153" s="14"/>
      <c r="WXV1153" s="14"/>
      <c r="WXW1153" s="14"/>
      <c r="WXX1153" s="14"/>
      <c r="WXY1153" s="14"/>
      <c r="WXZ1153" s="14"/>
      <c r="WYA1153" s="14"/>
      <c r="WYB1153" s="14"/>
      <c r="WYC1153" s="14"/>
      <c r="WYD1153" s="14"/>
      <c r="WYE1153" s="14"/>
      <c r="WYF1153" s="14"/>
      <c r="WYG1153" s="14"/>
      <c r="WYH1153" s="14"/>
      <c r="WYI1153" s="14"/>
      <c r="WYJ1153" s="14"/>
      <c r="WYK1153" s="14"/>
      <c r="WYL1153" s="14"/>
      <c r="WYM1153" s="14"/>
      <c r="WYN1153" s="14"/>
      <c r="WYO1153" s="14"/>
      <c r="WYP1153" s="14"/>
      <c r="WYQ1153" s="14"/>
      <c r="WYR1153" s="14"/>
      <c r="WYS1153" s="14"/>
      <c r="WYT1153" s="14"/>
      <c r="WYU1153" s="14"/>
      <c r="WYV1153" s="14"/>
      <c r="WYW1153" s="14"/>
      <c r="WYX1153" s="14"/>
      <c r="WYY1153" s="14"/>
      <c r="WYZ1153" s="14"/>
      <c r="WZA1153" s="14"/>
      <c r="WZB1153" s="14"/>
      <c r="WZC1153" s="14"/>
      <c r="WZD1153" s="14"/>
      <c r="WZE1153" s="14"/>
      <c r="WZF1153" s="14"/>
      <c r="WZG1153" s="14"/>
      <c r="WZH1153" s="14"/>
      <c r="WZI1153" s="14"/>
      <c r="WZJ1153" s="14"/>
      <c r="WZK1153" s="14"/>
      <c r="WZL1153" s="14"/>
      <c r="WZM1153" s="14"/>
      <c r="WZN1153" s="14"/>
      <c r="WZO1153" s="14"/>
      <c r="WZP1153" s="14"/>
      <c r="WZQ1153" s="14"/>
      <c r="WZR1153" s="14"/>
      <c r="WZS1153" s="14"/>
      <c r="WZT1153" s="14"/>
      <c r="WZU1153" s="14"/>
      <c r="WZV1153" s="14"/>
      <c r="WZW1153" s="14"/>
      <c r="WZX1153" s="14"/>
      <c r="WZY1153" s="14"/>
      <c r="WZZ1153" s="14"/>
      <c r="XAA1153" s="14"/>
      <c r="XAB1153" s="14"/>
      <c r="XAC1153" s="14"/>
      <c r="XAD1153" s="14"/>
      <c r="XAE1153" s="14"/>
      <c r="XAF1153" s="14"/>
      <c r="XAG1153" s="14"/>
      <c r="XAH1153" s="14"/>
      <c r="XAI1153" s="14"/>
      <c r="XAJ1153" s="14"/>
      <c r="XAK1153" s="14"/>
      <c r="XAL1153" s="14"/>
      <c r="XAM1153" s="14"/>
      <c r="XAN1153" s="14"/>
      <c r="XAO1153" s="14"/>
      <c r="XAP1153" s="14"/>
      <c r="XAQ1153" s="14"/>
      <c r="XAR1153" s="14"/>
      <c r="XAS1153" s="14"/>
      <c r="XAT1153" s="14"/>
      <c r="XAU1153" s="14"/>
      <c r="XAV1153" s="14"/>
      <c r="XAW1153" s="14"/>
      <c r="XAX1153" s="14"/>
      <c r="XAY1153" s="14"/>
      <c r="XAZ1153" s="14"/>
      <c r="XBA1153" s="14"/>
      <c r="XBB1153" s="14"/>
      <c r="XBC1153" s="14"/>
      <c r="XBD1153" s="14"/>
      <c r="XBE1153" s="14"/>
      <c r="XBF1153" s="14"/>
      <c r="XBG1153" s="14"/>
      <c r="XBH1153" s="14"/>
      <c r="XBI1153" s="14"/>
      <c r="XBJ1153" s="14"/>
      <c r="XBK1153" s="14"/>
      <c r="XBL1153" s="14"/>
      <c r="XBM1153" s="14"/>
      <c r="XBN1153" s="14"/>
      <c r="XBO1153" s="14"/>
      <c r="XBP1153" s="14"/>
      <c r="XBQ1153" s="14"/>
      <c r="XBR1153" s="14"/>
      <c r="XBS1153" s="14"/>
      <c r="XBT1153" s="14"/>
      <c r="XBU1153" s="14"/>
      <c r="XBV1153" s="14"/>
      <c r="XBW1153" s="14"/>
      <c r="XBX1153" s="14"/>
      <c r="XBY1153" s="14"/>
      <c r="XBZ1153" s="14"/>
      <c r="XCA1153" s="14"/>
      <c r="XCB1153" s="14"/>
      <c r="XCC1153" s="14"/>
      <c r="XCD1153" s="14"/>
      <c r="XCE1153" s="14"/>
      <c r="XCF1153" s="14"/>
      <c r="XCG1153" s="14"/>
      <c r="XCH1153" s="14"/>
      <c r="XCI1153" s="14"/>
      <c r="XCJ1153" s="14"/>
      <c r="XCK1153" s="14"/>
      <c r="XCL1153" s="14"/>
      <c r="XCM1153" s="14"/>
      <c r="XCN1153" s="14"/>
      <c r="XCO1153" s="14"/>
      <c r="XCP1153" s="14"/>
      <c r="XCQ1153" s="14"/>
      <c r="XCR1153" s="14"/>
      <c r="XCS1153" s="14"/>
      <c r="XCT1153" s="14"/>
      <c r="XCU1153" s="14"/>
      <c r="XCV1153" s="14"/>
      <c r="XCW1153" s="14"/>
      <c r="XCX1153" s="14"/>
      <c r="XCY1153" s="14"/>
      <c r="XCZ1153" s="14"/>
      <c r="XDA1153" s="14"/>
      <c r="XDB1153" s="14"/>
      <c r="XDC1153" s="14"/>
      <c r="XDD1153" s="14"/>
      <c r="XDE1153" s="14"/>
      <c r="XDF1153" s="14"/>
      <c r="XDG1153" s="14"/>
      <c r="XDH1153" s="14"/>
      <c r="XDI1153" s="14"/>
      <c r="XDJ1153" s="14"/>
      <c r="XDK1153" s="14"/>
      <c r="XDL1153" s="14"/>
      <c r="XDM1153" s="14"/>
      <c r="XDN1153" s="14"/>
      <c r="XDO1153" s="14"/>
      <c r="XDP1153" s="14"/>
      <c r="XDQ1153" s="14"/>
      <c r="XDR1153" s="14"/>
      <c r="XDS1153" s="14"/>
      <c r="XDT1153" s="14"/>
      <c r="XDU1153" s="14"/>
      <c r="XDV1153" s="14"/>
      <c r="XDW1153" s="14"/>
      <c r="XDX1153" s="14"/>
      <c r="XDY1153" s="14"/>
      <c r="XDZ1153" s="14"/>
      <c r="XEA1153" s="14"/>
      <c r="XEB1153" s="14"/>
      <c r="XEC1153" s="14"/>
      <c r="XED1153" s="14"/>
      <c r="XEE1153" s="14"/>
      <c r="XEF1153" s="14"/>
      <c r="XEG1153" s="14"/>
      <c r="XEH1153" s="14"/>
      <c r="XEI1153" s="14"/>
      <c r="XEJ1153" s="14"/>
      <c r="XEK1153" s="14"/>
      <c r="XEL1153" s="14"/>
      <c r="XEM1153" s="14"/>
      <c r="XEN1153" s="14"/>
      <c r="XEO1153" s="14"/>
      <c r="XEP1153" s="14"/>
    </row>
    <row r="1154" spans="1:16370" ht="63.75">
      <c r="B1154" s="6">
        <v>1138</v>
      </c>
      <c r="C1154" s="16" t="s">
        <v>714</v>
      </c>
      <c r="D1154" s="6" t="s">
        <v>601</v>
      </c>
      <c r="E1154" s="6" t="s">
        <v>1410</v>
      </c>
      <c r="F1154" s="70" t="s">
        <v>1813</v>
      </c>
      <c r="G1154" s="70" t="s">
        <v>1411</v>
      </c>
      <c r="H1154" s="70" t="s">
        <v>1813</v>
      </c>
      <c r="I1154" s="70" t="s">
        <v>1411</v>
      </c>
      <c r="J1154" s="70" t="s">
        <v>1812</v>
      </c>
      <c r="K1154" s="70" t="s">
        <v>57</v>
      </c>
      <c r="L1154" s="70" t="s">
        <v>1490</v>
      </c>
      <c r="M1154" s="12" t="s">
        <v>918</v>
      </c>
      <c r="N1154" s="26">
        <v>1</v>
      </c>
      <c r="O1154" s="57">
        <v>7357143</v>
      </c>
      <c r="P1154" s="62">
        <f t="shared" si="21"/>
        <v>7357143</v>
      </c>
      <c r="Q1154" s="6" t="s">
        <v>505</v>
      </c>
      <c r="R1154" s="16" t="s">
        <v>1476</v>
      </c>
      <c r="S1154" s="38" t="s">
        <v>1179</v>
      </c>
      <c r="T1154" s="26">
        <v>100</v>
      </c>
    </row>
    <row r="1155" spans="1:16370" ht="89.25">
      <c r="B1155" s="6">
        <v>1139</v>
      </c>
      <c r="C1155" s="16" t="s">
        <v>714</v>
      </c>
      <c r="D1155" s="6" t="s">
        <v>601</v>
      </c>
      <c r="E1155" s="58" t="s">
        <v>1143</v>
      </c>
      <c r="F1155" s="70" t="s">
        <v>1814</v>
      </c>
      <c r="G1155" s="70" t="s">
        <v>1144</v>
      </c>
      <c r="H1155" s="70" t="s">
        <v>1814</v>
      </c>
      <c r="I1155" s="70" t="s">
        <v>1145</v>
      </c>
      <c r="J1155" s="70" t="s">
        <v>1815</v>
      </c>
      <c r="K1155" s="70" t="s">
        <v>129</v>
      </c>
      <c r="L1155" s="70" t="s">
        <v>595</v>
      </c>
      <c r="M1155" s="12" t="s">
        <v>918</v>
      </c>
      <c r="N1155" s="26">
        <v>1</v>
      </c>
      <c r="O1155" s="57">
        <v>1651786</v>
      </c>
      <c r="P1155" s="62">
        <f t="shared" si="21"/>
        <v>1651786</v>
      </c>
      <c r="Q1155" s="6" t="s">
        <v>397</v>
      </c>
      <c r="R1155" s="6" t="s">
        <v>2520</v>
      </c>
      <c r="S1155" s="38" t="s">
        <v>1179</v>
      </c>
      <c r="T1155" s="26">
        <v>0</v>
      </c>
    </row>
    <row r="1156" spans="1:16370" ht="51">
      <c r="B1156" s="6">
        <v>1140</v>
      </c>
      <c r="C1156" s="16" t="s">
        <v>714</v>
      </c>
      <c r="D1156" s="6" t="s">
        <v>601</v>
      </c>
      <c r="E1156" s="6" t="s">
        <v>498</v>
      </c>
      <c r="F1156" s="93" t="s">
        <v>499</v>
      </c>
      <c r="G1156" s="93" t="s">
        <v>500</v>
      </c>
      <c r="H1156" s="93" t="s">
        <v>499</v>
      </c>
      <c r="I1156" s="93" t="s">
        <v>860</v>
      </c>
      <c r="J1156" s="93" t="s">
        <v>1816</v>
      </c>
      <c r="K1156" s="93" t="s">
        <v>58</v>
      </c>
      <c r="L1156" s="93" t="s">
        <v>1490</v>
      </c>
      <c r="M1156" s="12" t="s">
        <v>918</v>
      </c>
      <c r="N1156" s="26">
        <v>1</v>
      </c>
      <c r="O1156" s="57">
        <f>P1156/N1156</f>
        <v>12218572</v>
      </c>
      <c r="P1156" s="62">
        <f>14715000-441428-1650000-405000</f>
        <v>12218572</v>
      </c>
      <c r="Q1156" s="6" t="s">
        <v>397</v>
      </c>
      <c r="R1156" s="6" t="s">
        <v>770</v>
      </c>
      <c r="S1156" s="38" t="s">
        <v>1179</v>
      </c>
      <c r="T1156" s="26">
        <v>0</v>
      </c>
    </row>
    <row r="1157" spans="1:16370" ht="51">
      <c r="B1157" s="6">
        <v>1141</v>
      </c>
      <c r="C1157" s="16" t="s">
        <v>714</v>
      </c>
      <c r="D1157" s="6" t="s">
        <v>601</v>
      </c>
      <c r="E1157" s="6" t="s">
        <v>2399</v>
      </c>
      <c r="F1157" s="70" t="s">
        <v>1818</v>
      </c>
      <c r="G1157" s="70" t="s">
        <v>1372</v>
      </c>
      <c r="H1157" s="70" t="s">
        <v>1818</v>
      </c>
      <c r="I1157" s="70" t="s">
        <v>1372</v>
      </c>
      <c r="J1157" s="70" t="s">
        <v>1817</v>
      </c>
      <c r="K1157" s="70" t="s">
        <v>59</v>
      </c>
      <c r="L1157" s="70" t="s">
        <v>595</v>
      </c>
      <c r="M1157" s="12" t="s">
        <v>918</v>
      </c>
      <c r="N1157" s="26">
        <v>1</v>
      </c>
      <c r="O1157" s="57">
        <v>758929</v>
      </c>
      <c r="P1157" s="62">
        <f t="shared" si="21"/>
        <v>758929</v>
      </c>
      <c r="Q1157" s="6" t="s">
        <v>395</v>
      </c>
      <c r="R1157" s="6" t="s">
        <v>770</v>
      </c>
      <c r="S1157" s="38" t="s">
        <v>1179</v>
      </c>
      <c r="T1157" s="26">
        <v>0</v>
      </c>
    </row>
    <row r="1158" spans="1:16370" s="46" customFormat="1" ht="51">
      <c r="A1158" s="17"/>
      <c r="B1158" s="6">
        <v>1142</v>
      </c>
      <c r="C1158" s="16" t="s">
        <v>714</v>
      </c>
      <c r="D1158" s="6" t="s">
        <v>601</v>
      </c>
      <c r="E1158" s="6" t="s">
        <v>2399</v>
      </c>
      <c r="F1158" s="70" t="s">
        <v>1818</v>
      </c>
      <c r="G1158" s="70" t="s">
        <v>1372</v>
      </c>
      <c r="H1158" s="70" t="s">
        <v>1818</v>
      </c>
      <c r="I1158" s="70" t="s">
        <v>1372</v>
      </c>
      <c r="J1158" s="70" t="s">
        <v>1817</v>
      </c>
      <c r="K1158" s="70" t="s">
        <v>59</v>
      </c>
      <c r="L1158" s="70" t="s">
        <v>595</v>
      </c>
      <c r="M1158" s="12" t="s">
        <v>918</v>
      </c>
      <c r="N1158" s="26">
        <v>1</v>
      </c>
      <c r="O1158" s="57">
        <v>1150714</v>
      </c>
      <c r="P1158" s="62">
        <f t="shared" si="21"/>
        <v>1150714</v>
      </c>
      <c r="Q1158" s="6" t="s">
        <v>519</v>
      </c>
      <c r="R1158" s="6" t="s">
        <v>770</v>
      </c>
      <c r="S1158" s="38" t="s">
        <v>2030</v>
      </c>
      <c r="T1158" s="26">
        <v>0</v>
      </c>
    </row>
    <row r="1159" spans="1:16370" ht="89.25">
      <c r="B1159" s="6">
        <v>1143</v>
      </c>
      <c r="C1159" s="16" t="s">
        <v>714</v>
      </c>
      <c r="D1159" s="6" t="s">
        <v>601</v>
      </c>
      <c r="E1159" s="58" t="s">
        <v>1146</v>
      </c>
      <c r="F1159" s="70" t="s">
        <v>1819</v>
      </c>
      <c r="G1159" s="70" t="s">
        <v>1147</v>
      </c>
      <c r="H1159" s="70" t="s">
        <v>1820</v>
      </c>
      <c r="I1159" s="70" t="s">
        <v>1148</v>
      </c>
      <c r="J1159" s="70" t="s">
        <v>1821</v>
      </c>
      <c r="K1159" s="70" t="s">
        <v>1149</v>
      </c>
      <c r="L1159" s="70" t="s">
        <v>595</v>
      </c>
      <c r="M1159" s="12" t="s">
        <v>918</v>
      </c>
      <c r="N1159" s="26">
        <v>1</v>
      </c>
      <c r="O1159" s="57">
        <v>2678571</v>
      </c>
      <c r="P1159" s="62">
        <f t="shared" si="21"/>
        <v>2678571</v>
      </c>
      <c r="Q1159" s="6" t="s">
        <v>397</v>
      </c>
      <c r="R1159" s="6" t="s">
        <v>770</v>
      </c>
      <c r="S1159" s="38" t="s">
        <v>1179</v>
      </c>
      <c r="T1159" s="26">
        <v>0</v>
      </c>
    </row>
    <row r="1160" spans="1:16370" ht="51" outlineLevel="1">
      <c r="B1160" s="6">
        <v>1144</v>
      </c>
      <c r="C1160" s="16" t="s">
        <v>714</v>
      </c>
      <c r="D1160" s="6" t="s">
        <v>601</v>
      </c>
      <c r="E1160" s="6" t="s">
        <v>1466</v>
      </c>
      <c r="F1160" s="70" t="s">
        <v>1822</v>
      </c>
      <c r="G1160" s="70" t="s">
        <v>1467</v>
      </c>
      <c r="H1160" s="70" t="s">
        <v>1823</v>
      </c>
      <c r="I1160" s="70" t="s">
        <v>1468</v>
      </c>
      <c r="J1160" s="70" t="s">
        <v>1824</v>
      </c>
      <c r="K1160" s="70" t="s">
        <v>260</v>
      </c>
      <c r="L1160" s="70" t="s">
        <v>595</v>
      </c>
      <c r="M1160" s="12" t="s">
        <v>918</v>
      </c>
      <c r="N1160" s="26">
        <v>1</v>
      </c>
      <c r="O1160" s="57">
        <v>150000</v>
      </c>
      <c r="P1160" s="62">
        <f t="shared" si="21"/>
        <v>150000</v>
      </c>
      <c r="Q1160" s="6" t="s">
        <v>870</v>
      </c>
      <c r="R1160" s="6" t="s">
        <v>770</v>
      </c>
      <c r="S1160" s="38" t="s">
        <v>1179</v>
      </c>
      <c r="T1160" s="26">
        <v>0</v>
      </c>
    </row>
    <row r="1161" spans="1:16370" ht="55.5" customHeight="1" outlineLevel="1">
      <c r="B1161" s="6">
        <v>1145</v>
      </c>
      <c r="C1161" s="16" t="s">
        <v>714</v>
      </c>
      <c r="D1161" s="6" t="s">
        <v>601</v>
      </c>
      <c r="E1161" s="6" t="s">
        <v>1346</v>
      </c>
      <c r="F1161" s="70" t="s">
        <v>1825</v>
      </c>
      <c r="G1161" s="70" t="s">
        <v>60</v>
      </c>
      <c r="H1161" s="70" t="s">
        <v>1826</v>
      </c>
      <c r="I1161" s="70" t="s">
        <v>1347</v>
      </c>
      <c r="J1161" s="70" t="s">
        <v>1825</v>
      </c>
      <c r="K1161" s="70" t="s">
        <v>60</v>
      </c>
      <c r="L1161" s="70" t="s">
        <v>595</v>
      </c>
      <c r="M1161" s="12" t="s">
        <v>918</v>
      </c>
      <c r="N1161" s="26">
        <v>1</v>
      </c>
      <c r="O1161" s="57">
        <v>7678571</v>
      </c>
      <c r="P1161" s="62">
        <f t="shared" si="21"/>
        <v>7678571</v>
      </c>
      <c r="Q1161" s="6" t="s">
        <v>510</v>
      </c>
      <c r="R1161" s="6" t="s">
        <v>1348</v>
      </c>
      <c r="S1161" s="38" t="s">
        <v>1179</v>
      </c>
      <c r="T1161" s="6">
        <v>100</v>
      </c>
    </row>
    <row r="1162" spans="1:16370" ht="51" outlineLevel="1">
      <c r="B1162" s="6">
        <v>1146</v>
      </c>
      <c r="C1162" s="16" t="s">
        <v>714</v>
      </c>
      <c r="D1162" s="6" t="s">
        <v>601</v>
      </c>
      <c r="E1162" s="6" t="s">
        <v>1828</v>
      </c>
      <c r="F1162" s="70" t="s">
        <v>1830</v>
      </c>
      <c r="G1162" s="70" t="s">
        <v>1829</v>
      </c>
      <c r="H1162" s="70" t="s">
        <v>1830</v>
      </c>
      <c r="I1162" s="70" t="s">
        <v>1829</v>
      </c>
      <c r="J1162" s="70" t="s">
        <v>1827</v>
      </c>
      <c r="K1162" s="70" t="s">
        <v>61</v>
      </c>
      <c r="L1162" s="70" t="s">
        <v>595</v>
      </c>
      <c r="M1162" s="12" t="s">
        <v>918</v>
      </c>
      <c r="N1162" s="26">
        <v>1</v>
      </c>
      <c r="O1162" s="57">
        <v>138679</v>
      </c>
      <c r="P1162" s="62">
        <f t="shared" si="21"/>
        <v>138679</v>
      </c>
      <c r="Q1162" s="6" t="s">
        <v>395</v>
      </c>
      <c r="R1162" s="6" t="s">
        <v>770</v>
      </c>
      <c r="S1162" s="38" t="s">
        <v>1179</v>
      </c>
      <c r="T1162" s="26">
        <v>100</v>
      </c>
    </row>
    <row r="1163" spans="1:16370" ht="51" outlineLevel="1">
      <c r="B1163" s="6">
        <v>1147</v>
      </c>
      <c r="C1163" s="16" t="s">
        <v>714</v>
      </c>
      <c r="D1163" s="6" t="s">
        <v>601</v>
      </c>
      <c r="E1163" s="58" t="s">
        <v>1150</v>
      </c>
      <c r="F1163" s="70" t="s">
        <v>1831</v>
      </c>
      <c r="G1163" s="70" t="s">
        <v>1151</v>
      </c>
      <c r="H1163" s="70" t="s">
        <v>1832</v>
      </c>
      <c r="I1163" s="70" t="s">
        <v>1152</v>
      </c>
      <c r="J1163" s="70" t="s">
        <v>1833</v>
      </c>
      <c r="K1163" s="70" t="s">
        <v>62</v>
      </c>
      <c r="L1163" s="70" t="s">
        <v>595</v>
      </c>
      <c r="M1163" s="12" t="s">
        <v>918</v>
      </c>
      <c r="N1163" s="26">
        <v>1</v>
      </c>
      <c r="O1163" s="57">
        <v>1607143</v>
      </c>
      <c r="P1163" s="62">
        <f>1607143+107143</f>
        <v>1714286</v>
      </c>
      <c r="Q1163" s="6" t="s">
        <v>519</v>
      </c>
      <c r="R1163" s="6" t="s">
        <v>770</v>
      </c>
      <c r="S1163" s="38" t="s">
        <v>1179</v>
      </c>
      <c r="T1163" s="26">
        <v>0</v>
      </c>
    </row>
    <row r="1164" spans="1:16370" ht="114.75" outlineLevel="1">
      <c r="B1164" s="6">
        <v>1148</v>
      </c>
      <c r="C1164" s="16" t="s">
        <v>714</v>
      </c>
      <c r="D1164" s="6" t="s">
        <v>601</v>
      </c>
      <c r="E1164" s="58" t="s">
        <v>1153</v>
      </c>
      <c r="F1164" s="70" t="s">
        <v>1834</v>
      </c>
      <c r="G1164" s="70" t="s">
        <v>1154</v>
      </c>
      <c r="H1164" s="70" t="s">
        <v>1835</v>
      </c>
      <c r="I1164" s="70" t="s">
        <v>1155</v>
      </c>
      <c r="J1164" s="70" t="s">
        <v>1836</v>
      </c>
      <c r="K1164" s="70" t="s">
        <v>63</v>
      </c>
      <c r="L1164" s="70" t="s">
        <v>595</v>
      </c>
      <c r="M1164" s="12" t="s">
        <v>918</v>
      </c>
      <c r="N1164" s="26">
        <v>1</v>
      </c>
      <c r="O1164" s="57">
        <v>53571</v>
      </c>
      <c r="P1164" s="62">
        <f t="shared" si="21"/>
        <v>53571</v>
      </c>
      <c r="Q1164" s="6" t="s">
        <v>506</v>
      </c>
      <c r="R1164" s="6" t="s">
        <v>770</v>
      </c>
      <c r="S1164" s="38" t="s">
        <v>1179</v>
      </c>
      <c r="T1164" s="26">
        <v>0</v>
      </c>
    </row>
    <row r="1165" spans="1:16370" ht="63.75" outlineLevel="1">
      <c r="B1165" s="6">
        <v>1149</v>
      </c>
      <c r="C1165" s="16" t="s">
        <v>714</v>
      </c>
      <c r="D1165" s="6" t="s">
        <v>601</v>
      </c>
      <c r="E1165" s="38" t="s">
        <v>1177</v>
      </c>
      <c r="F1165" s="70" t="s">
        <v>1837</v>
      </c>
      <c r="G1165" s="70" t="s">
        <v>513</v>
      </c>
      <c r="H1165" s="70" t="s">
        <v>1838</v>
      </c>
      <c r="I1165" s="70" t="s">
        <v>1178</v>
      </c>
      <c r="J1165" s="70" t="s">
        <v>1839</v>
      </c>
      <c r="K1165" s="70" t="s">
        <v>123</v>
      </c>
      <c r="L1165" s="70" t="s">
        <v>1489</v>
      </c>
      <c r="M1165" s="12" t="s">
        <v>918</v>
      </c>
      <c r="N1165" s="26">
        <v>1</v>
      </c>
      <c r="O1165" s="57">
        <v>3927786</v>
      </c>
      <c r="P1165" s="62">
        <f t="shared" si="21"/>
        <v>3927786</v>
      </c>
      <c r="Q1165" s="6" t="s">
        <v>702</v>
      </c>
      <c r="R1165" s="6" t="s">
        <v>1480</v>
      </c>
      <c r="S1165" s="38" t="s">
        <v>1179</v>
      </c>
      <c r="T1165" s="6">
        <v>10</v>
      </c>
    </row>
    <row r="1166" spans="1:16370" ht="89.25" outlineLevel="1">
      <c r="B1166" s="6">
        <v>1150</v>
      </c>
      <c r="C1166" s="16" t="s">
        <v>714</v>
      </c>
      <c r="D1166" s="6" t="s">
        <v>601</v>
      </c>
      <c r="E1166" s="58" t="s">
        <v>919</v>
      </c>
      <c r="F1166" s="70" t="s">
        <v>1840</v>
      </c>
      <c r="G1166" s="70" t="s">
        <v>920</v>
      </c>
      <c r="H1166" s="70" t="s">
        <v>1841</v>
      </c>
      <c r="I1166" s="70" t="s">
        <v>921</v>
      </c>
      <c r="J1166" s="70" t="s">
        <v>1842</v>
      </c>
      <c r="K1166" s="70" t="s">
        <v>263</v>
      </c>
      <c r="L1166" s="70" t="s">
        <v>1489</v>
      </c>
      <c r="M1166" s="12" t="s">
        <v>918</v>
      </c>
      <c r="N1166" s="26">
        <v>1</v>
      </c>
      <c r="O1166" s="57">
        <f>P1166/N1166</f>
        <v>4907143</v>
      </c>
      <c r="P1166" s="62">
        <f>5357143-450000</f>
        <v>4907143</v>
      </c>
      <c r="Q1166" s="6" t="s">
        <v>505</v>
      </c>
      <c r="R1166" s="6" t="s">
        <v>770</v>
      </c>
      <c r="S1166" s="38" t="s">
        <v>1179</v>
      </c>
      <c r="T1166" s="26">
        <v>30</v>
      </c>
    </row>
    <row r="1167" spans="1:16370" ht="76.5" outlineLevel="1">
      <c r="B1167" s="6">
        <v>1151</v>
      </c>
      <c r="C1167" s="16" t="s">
        <v>714</v>
      </c>
      <c r="D1167" s="6" t="s">
        <v>601</v>
      </c>
      <c r="E1167" s="58" t="s">
        <v>1156</v>
      </c>
      <c r="F1167" s="70" t="s">
        <v>1843</v>
      </c>
      <c r="G1167" s="70" t="s">
        <v>1157</v>
      </c>
      <c r="H1167" s="70" t="s">
        <v>1844</v>
      </c>
      <c r="I1167" s="70" t="s">
        <v>1158</v>
      </c>
      <c r="J1167" s="70" t="s">
        <v>1845</v>
      </c>
      <c r="K1167" s="70" t="s">
        <v>261</v>
      </c>
      <c r="L1167" s="70" t="s">
        <v>595</v>
      </c>
      <c r="M1167" s="12" t="s">
        <v>918</v>
      </c>
      <c r="N1167" s="26">
        <v>1</v>
      </c>
      <c r="O1167" s="57">
        <v>312500</v>
      </c>
      <c r="P1167" s="62">
        <f t="shared" si="21"/>
        <v>312500</v>
      </c>
      <c r="Q1167" s="6" t="s">
        <v>519</v>
      </c>
      <c r="R1167" s="6" t="s">
        <v>770</v>
      </c>
      <c r="S1167" s="38" t="s">
        <v>1179</v>
      </c>
      <c r="T1167" s="26">
        <v>0</v>
      </c>
    </row>
    <row r="1168" spans="1:16370" ht="51" outlineLevel="1">
      <c r="B1168" s="6">
        <v>1152</v>
      </c>
      <c r="C1168" s="16" t="s">
        <v>714</v>
      </c>
      <c r="D1168" s="6" t="s">
        <v>601</v>
      </c>
      <c r="E1168" s="6" t="s">
        <v>596</v>
      </c>
      <c r="F1168" s="70" t="s">
        <v>783</v>
      </c>
      <c r="G1168" s="70" t="s">
        <v>598</v>
      </c>
      <c r="H1168" s="70" t="s">
        <v>784</v>
      </c>
      <c r="I1168" s="70" t="s">
        <v>600</v>
      </c>
      <c r="J1168" s="70" t="s">
        <v>1537</v>
      </c>
      <c r="K1168" s="70" t="s">
        <v>262</v>
      </c>
      <c r="L1168" s="70" t="s">
        <v>595</v>
      </c>
      <c r="M1168" s="12" t="s">
        <v>918</v>
      </c>
      <c r="N1168" s="26">
        <v>1</v>
      </c>
      <c r="O1168" s="57">
        <v>1607143</v>
      </c>
      <c r="P1168" s="62">
        <f t="shared" si="21"/>
        <v>1607143</v>
      </c>
      <c r="Q1168" s="6" t="s">
        <v>395</v>
      </c>
      <c r="R1168" s="6" t="s">
        <v>770</v>
      </c>
      <c r="S1168" s="38" t="s">
        <v>1179</v>
      </c>
      <c r="T1168" s="26">
        <v>0</v>
      </c>
    </row>
    <row r="1169" spans="1:20" ht="51">
      <c r="B1169" s="6">
        <v>1153</v>
      </c>
      <c r="C1169" s="16" t="s">
        <v>714</v>
      </c>
      <c r="D1169" s="6" t="s">
        <v>601</v>
      </c>
      <c r="E1169" s="6" t="s">
        <v>531</v>
      </c>
      <c r="F1169" s="70" t="s">
        <v>532</v>
      </c>
      <c r="G1169" s="70" t="s">
        <v>533</v>
      </c>
      <c r="H1169" s="70" t="s">
        <v>1846</v>
      </c>
      <c r="I1169" s="70" t="s">
        <v>535</v>
      </c>
      <c r="J1169" s="70" t="s">
        <v>1847</v>
      </c>
      <c r="K1169" s="70" t="s">
        <v>64</v>
      </c>
      <c r="L1169" s="70" t="s">
        <v>595</v>
      </c>
      <c r="M1169" s="12" t="s">
        <v>918</v>
      </c>
      <c r="N1169" s="26">
        <v>1</v>
      </c>
      <c r="O1169" s="57">
        <v>625000</v>
      </c>
      <c r="P1169" s="62">
        <f t="shared" si="21"/>
        <v>625000</v>
      </c>
      <c r="Q1169" s="6" t="s">
        <v>506</v>
      </c>
      <c r="R1169" s="6" t="s">
        <v>770</v>
      </c>
      <c r="S1169" s="38" t="s">
        <v>1179</v>
      </c>
      <c r="T1169" s="26">
        <v>0</v>
      </c>
    </row>
    <row r="1170" spans="1:20" s="46" customFormat="1" ht="51">
      <c r="A1170" s="17"/>
      <c r="B1170" s="6">
        <v>1154</v>
      </c>
      <c r="C1170" s="36" t="s">
        <v>714</v>
      </c>
      <c r="D1170" s="43" t="s">
        <v>601</v>
      </c>
      <c r="E1170" s="6" t="s">
        <v>531</v>
      </c>
      <c r="F1170" s="70" t="s">
        <v>532</v>
      </c>
      <c r="G1170" s="70" t="s">
        <v>533</v>
      </c>
      <c r="H1170" s="70" t="s">
        <v>1846</v>
      </c>
      <c r="I1170" s="70" t="s">
        <v>535</v>
      </c>
      <c r="J1170" s="70" t="s">
        <v>1847</v>
      </c>
      <c r="K1170" s="70" t="s">
        <v>64</v>
      </c>
      <c r="L1170" s="70" t="s">
        <v>595</v>
      </c>
      <c r="M1170" s="12" t="s">
        <v>918</v>
      </c>
      <c r="N1170" s="26">
        <v>1</v>
      </c>
      <c r="O1170" s="57">
        <v>267857</v>
      </c>
      <c r="P1170" s="62">
        <f t="shared" si="21"/>
        <v>267857</v>
      </c>
      <c r="Q1170" s="6" t="s">
        <v>519</v>
      </c>
      <c r="R1170" s="6" t="s">
        <v>770</v>
      </c>
      <c r="S1170" s="38" t="s">
        <v>2038</v>
      </c>
      <c r="T1170" s="26">
        <v>30</v>
      </c>
    </row>
    <row r="1171" spans="1:20" s="46" customFormat="1" ht="51">
      <c r="A1171" s="17"/>
      <c r="B1171" s="6">
        <v>1155</v>
      </c>
      <c r="C1171" s="16" t="s">
        <v>714</v>
      </c>
      <c r="D1171" s="6" t="s">
        <v>601</v>
      </c>
      <c r="E1171" s="6" t="s">
        <v>531</v>
      </c>
      <c r="F1171" s="70" t="s">
        <v>532</v>
      </c>
      <c r="G1171" s="70" t="s">
        <v>533</v>
      </c>
      <c r="H1171" s="70" t="s">
        <v>1846</v>
      </c>
      <c r="I1171" s="70" t="s">
        <v>535</v>
      </c>
      <c r="J1171" s="70" t="s">
        <v>1847</v>
      </c>
      <c r="K1171" s="70" t="s">
        <v>64</v>
      </c>
      <c r="L1171" s="70" t="s">
        <v>595</v>
      </c>
      <c r="M1171" s="12" t="s">
        <v>918</v>
      </c>
      <c r="N1171" s="26">
        <v>1</v>
      </c>
      <c r="O1171" s="57">
        <v>267857</v>
      </c>
      <c r="P1171" s="62">
        <f t="shared" si="21"/>
        <v>267857</v>
      </c>
      <c r="Q1171" s="38" t="s">
        <v>395</v>
      </c>
      <c r="R1171" s="6" t="s">
        <v>770</v>
      </c>
      <c r="S1171" s="38" t="s">
        <v>1025</v>
      </c>
      <c r="T1171" s="6">
        <v>30</v>
      </c>
    </row>
    <row r="1172" spans="1:20" s="46" customFormat="1" ht="51">
      <c r="A1172" s="17"/>
      <c r="B1172" s="6">
        <v>1156</v>
      </c>
      <c r="C1172" s="16" t="s">
        <v>714</v>
      </c>
      <c r="D1172" s="6" t="s">
        <v>601</v>
      </c>
      <c r="E1172" s="6" t="s">
        <v>531</v>
      </c>
      <c r="F1172" s="70" t="s">
        <v>532</v>
      </c>
      <c r="G1172" s="70" t="s">
        <v>533</v>
      </c>
      <c r="H1172" s="70" t="s">
        <v>1846</v>
      </c>
      <c r="I1172" s="70" t="s">
        <v>535</v>
      </c>
      <c r="J1172" s="70" t="s">
        <v>1847</v>
      </c>
      <c r="K1172" s="70" t="s">
        <v>64</v>
      </c>
      <c r="L1172" s="70" t="s">
        <v>595</v>
      </c>
      <c r="M1172" s="12" t="s">
        <v>918</v>
      </c>
      <c r="N1172" s="26">
        <v>1</v>
      </c>
      <c r="O1172" s="57">
        <v>267857</v>
      </c>
      <c r="P1172" s="62">
        <f t="shared" si="21"/>
        <v>267857</v>
      </c>
      <c r="Q1172" s="6" t="s">
        <v>702</v>
      </c>
      <c r="R1172" s="6" t="s">
        <v>770</v>
      </c>
      <c r="S1172" s="38" t="s">
        <v>793</v>
      </c>
      <c r="T1172" s="6">
        <v>30</v>
      </c>
    </row>
    <row r="1173" spans="1:20" s="46" customFormat="1" ht="25.5">
      <c r="A1173" s="17"/>
      <c r="B1173" s="6">
        <v>1157</v>
      </c>
      <c r="C1173" s="16" t="s">
        <v>714</v>
      </c>
      <c r="D1173" s="6" t="s">
        <v>601</v>
      </c>
      <c r="E1173" s="6" t="s">
        <v>531</v>
      </c>
      <c r="F1173" s="70" t="s">
        <v>532</v>
      </c>
      <c r="G1173" s="70" t="s">
        <v>533</v>
      </c>
      <c r="H1173" s="70" t="s">
        <v>1846</v>
      </c>
      <c r="I1173" s="70" t="s">
        <v>535</v>
      </c>
      <c r="J1173" s="70" t="s">
        <v>1847</v>
      </c>
      <c r="K1173" s="70" t="s">
        <v>64</v>
      </c>
      <c r="L1173" s="70" t="s">
        <v>595</v>
      </c>
      <c r="M1173" s="12" t="s">
        <v>918</v>
      </c>
      <c r="N1173" s="26">
        <v>1</v>
      </c>
      <c r="O1173" s="57">
        <v>267857</v>
      </c>
      <c r="P1173" s="62">
        <f t="shared" si="21"/>
        <v>267857</v>
      </c>
      <c r="Q1173" s="6" t="s">
        <v>397</v>
      </c>
      <c r="R1173" s="6" t="s">
        <v>397</v>
      </c>
      <c r="S1173" s="38" t="s">
        <v>2030</v>
      </c>
      <c r="T1173" s="26">
        <v>30</v>
      </c>
    </row>
    <row r="1174" spans="1:20" s="14" customFormat="1" ht="51">
      <c r="A1174" s="17"/>
      <c r="B1174" s="6">
        <v>1158</v>
      </c>
      <c r="C1174" s="16" t="s">
        <v>714</v>
      </c>
      <c r="D1174" s="6" t="s">
        <v>601</v>
      </c>
      <c r="E1174" s="6" t="s">
        <v>531</v>
      </c>
      <c r="F1174" s="70" t="s">
        <v>532</v>
      </c>
      <c r="G1174" s="70" t="s">
        <v>533</v>
      </c>
      <c r="H1174" s="70" t="s">
        <v>1846</v>
      </c>
      <c r="I1174" s="70" t="s">
        <v>535</v>
      </c>
      <c r="J1174" s="70" t="s">
        <v>1847</v>
      </c>
      <c r="K1174" s="70" t="s">
        <v>64</v>
      </c>
      <c r="L1174" s="70" t="s">
        <v>595</v>
      </c>
      <c r="M1174" s="12" t="s">
        <v>918</v>
      </c>
      <c r="N1174" s="26">
        <v>1</v>
      </c>
      <c r="O1174" s="57">
        <v>267857</v>
      </c>
      <c r="P1174" s="62">
        <f t="shared" si="21"/>
        <v>267857</v>
      </c>
      <c r="Q1174" s="6" t="s">
        <v>519</v>
      </c>
      <c r="R1174" s="6" t="s">
        <v>770</v>
      </c>
      <c r="S1174" s="38" t="s">
        <v>2031</v>
      </c>
      <c r="T1174" s="26">
        <v>50</v>
      </c>
    </row>
    <row r="1175" spans="1:20" ht="63.75">
      <c r="B1175" s="6">
        <v>1159</v>
      </c>
      <c r="C1175" s="16" t="s">
        <v>714</v>
      </c>
      <c r="D1175" s="6" t="s">
        <v>601</v>
      </c>
      <c r="E1175" s="6" t="s">
        <v>531</v>
      </c>
      <c r="F1175" s="70" t="s">
        <v>532</v>
      </c>
      <c r="G1175" s="70" t="s">
        <v>533</v>
      </c>
      <c r="H1175" s="70" t="s">
        <v>1846</v>
      </c>
      <c r="I1175" s="70" t="s">
        <v>535</v>
      </c>
      <c r="J1175" s="70" t="s">
        <v>1847</v>
      </c>
      <c r="K1175" s="70" t="s">
        <v>64</v>
      </c>
      <c r="L1175" s="70" t="s">
        <v>595</v>
      </c>
      <c r="M1175" s="12" t="s">
        <v>918</v>
      </c>
      <c r="N1175" s="26">
        <v>1</v>
      </c>
      <c r="O1175" s="57">
        <v>267857</v>
      </c>
      <c r="P1175" s="62">
        <f t="shared" si="21"/>
        <v>267857</v>
      </c>
      <c r="Q1175" s="6" t="s">
        <v>395</v>
      </c>
      <c r="R1175" s="6" t="s">
        <v>1055</v>
      </c>
      <c r="S1175" s="38" t="s">
        <v>637</v>
      </c>
      <c r="T1175" s="26">
        <v>0</v>
      </c>
    </row>
    <row r="1176" spans="1:20" s="42" customFormat="1" ht="51">
      <c r="A1176" s="17"/>
      <c r="B1176" s="6">
        <v>1160</v>
      </c>
      <c r="C1176" s="16" t="s">
        <v>714</v>
      </c>
      <c r="D1176" s="6" t="s">
        <v>601</v>
      </c>
      <c r="E1176" s="6" t="s">
        <v>531</v>
      </c>
      <c r="F1176" s="70" t="s">
        <v>532</v>
      </c>
      <c r="G1176" s="70" t="s">
        <v>533</v>
      </c>
      <c r="H1176" s="70" t="s">
        <v>1846</v>
      </c>
      <c r="I1176" s="70" t="s">
        <v>535</v>
      </c>
      <c r="J1176" s="70" t="s">
        <v>1847</v>
      </c>
      <c r="K1176" s="70" t="s">
        <v>64</v>
      </c>
      <c r="L1176" s="70" t="s">
        <v>595</v>
      </c>
      <c r="M1176" s="12" t="s">
        <v>918</v>
      </c>
      <c r="N1176" s="26">
        <v>1</v>
      </c>
      <c r="O1176" s="57">
        <v>267857</v>
      </c>
      <c r="P1176" s="62">
        <f t="shared" si="21"/>
        <v>267857</v>
      </c>
      <c r="Q1176" s="6" t="s">
        <v>616</v>
      </c>
      <c r="R1176" s="6" t="s">
        <v>770</v>
      </c>
      <c r="S1176" s="38">
        <v>311000000</v>
      </c>
      <c r="T1176" s="26">
        <v>30</v>
      </c>
    </row>
    <row r="1177" spans="1:20" s="47" customFormat="1" ht="51">
      <c r="A1177" s="17"/>
      <c r="B1177" s="6">
        <v>1161</v>
      </c>
      <c r="C1177" s="16" t="s">
        <v>714</v>
      </c>
      <c r="D1177" s="6" t="s">
        <v>601</v>
      </c>
      <c r="E1177" s="6" t="s">
        <v>531</v>
      </c>
      <c r="F1177" s="70" t="s">
        <v>532</v>
      </c>
      <c r="G1177" s="70" t="s">
        <v>533</v>
      </c>
      <c r="H1177" s="70" t="s">
        <v>1846</v>
      </c>
      <c r="I1177" s="70" t="s">
        <v>535</v>
      </c>
      <c r="J1177" s="70" t="s">
        <v>1847</v>
      </c>
      <c r="K1177" s="70" t="s">
        <v>64</v>
      </c>
      <c r="L1177" s="70" t="s">
        <v>595</v>
      </c>
      <c r="M1177" s="12" t="s">
        <v>918</v>
      </c>
      <c r="N1177" s="26">
        <v>1</v>
      </c>
      <c r="O1177" s="57">
        <v>267857</v>
      </c>
      <c r="P1177" s="62">
        <f t="shared" si="21"/>
        <v>267857</v>
      </c>
      <c r="Q1177" s="6" t="s">
        <v>397</v>
      </c>
      <c r="R1177" s="6" t="s">
        <v>770</v>
      </c>
      <c r="S1177" s="38" t="s">
        <v>2032</v>
      </c>
      <c r="T1177" s="6">
        <v>30</v>
      </c>
    </row>
    <row r="1178" spans="1:20" s="46" customFormat="1" ht="63.75">
      <c r="A1178" s="17"/>
      <c r="B1178" s="6">
        <v>1162</v>
      </c>
      <c r="C1178" s="16" t="s">
        <v>714</v>
      </c>
      <c r="D1178" s="6" t="s">
        <v>601</v>
      </c>
      <c r="E1178" s="6" t="s">
        <v>531</v>
      </c>
      <c r="F1178" s="70" t="s">
        <v>532</v>
      </c>
      <c r="G1178" s="70" t="s">
        <v>533</v>
      </c>
      <c r="H1178" s="70" t="s">
        <v>1846</v>
      </c>
      <c r="I1178" s="70" t="s">
        <v>535</v>
      </c>
      <c r="J1178" s="70" t="s">
        <v>1847</v>
      </c>
      <c r="K1178" s="70" t="s">
        <v>64</v>
      </c>
      <c r="L1178" s="70" t="s">
        <v>595</v>
      </c>
      <c r="M1178" s="12" t="s">
        <v>918</v>
      </c>
      <c r="N1178" s="26">
        <v>1</v>
      </c>
      <c r="O1178" s="57">
        <v>267857</v>
      </c>
      <c r="P1178" s="62">
        <f t="shared" si="21"/>
        <v>267857</v>
      </c>
      <c r="Q1178" s="6" t="s">
        <v>395</v>
      </c>
      <c r="R1178" s="6" t="s">
        <v>1055</v>
      </c>
      <c r="S1178" s="38">
        <v>351000000</v>
      </c>
      <c r="T1178" s="26">
        <v>0</v>
      </c>
    </row>
    <row r="1179" spans="1:20" ht="56.25" customHeight="1">
      <c r="B1179" s="6">
        <v>1163</v>
      </c>
      <c r="C1179" s="16" t="s">
        <v>714</v>
      </c>
      <c r="D1179" s="6" t="s">
        <v>601</v>
      </c>
      <c r="E1179" s="6" t="s">
        <v>531</v>
      </c>
      <c r="F1179" s="70" t="s">
        <v>532</v>
      </c>
      <c r="G1179" s="70" t="s">
        <v>533</v>
      </c>
      <c r="H1179" s="70" t="s">
        <v>1846</v>
      </c>
      <c r="I1179" s="70" t="s">
        <v>535</v>
      </c>
      <c r="J1179" s="70" t="s">
        <v>1847</v>
      </c>
      <c r="K1179" s="70" t="s">
        <v>64</v>
      </c>
      <c r="L1179" s="70" t="s">
        <v>595</v>
      </c>
      <c r="M1179" s="12" t="s">
        <v>918</v>
      </c>
      <c r="N1179" s="26">
        <v>1</v>
      </c>
      <c r="O1179" s="57">
        <v>267857</v>
      </c>
      <c r="P1179" s="62">
        <f t="shared" si="21"/>
        <v>267857</v>
      </c>
      <c r="Q1179" s="6" t="s">
        <v>519</v>
      </c>
      <c r="R1179" s="6" t="s">
        <v>770</v>
      </c>
      <c r="S1179" s="38" t="s">
        <v>929</v>
      </c>
      <c r="T1179" s="26">
        <v>50</v>
      </c>
    </row>
    <row r="1180" spans="1:20" s="46" customFormat="1" ht="25.5">
      <c r="A1180" s="17"/>
      <c r="B1180" s="6">
        <v>1164</v>
      </c>
      <c r="C1180" s="16" t="s">
        <v>714</v>
      </c>
      <c r="D1180" s="6" t="s">
        <v>601</v>
      </c>
      <c r="E1180" s="6" t="s">
        <v>531</v>
      </c>
      <c r="F1180" s="70" t="s">
        <v>532</v>
      </c>
      <c r="G1180" s="70" t="s">
        <v>533</v>
      </c>
      <c r="H1180" s="70" t="s">
        <v>1846</v>
      </c>
      <c r="I1180" s="70" t="s">
        <v>535</v>
      </c>
      <c r="J1180" s="70" t="s">
        <v>1847</v>
      </c>
      <c r="K1180" s="70" t="s">
        <v>64</v>
      </c>
      <c r="L1180" s="70" t="s">
        <v>595</v>
      </c>
      <c r="M1180" s="12" t="s">
        <v>918</v>
      </c>
      <c r="N1180" s="26">
        <v>1</v>
      </c>
      <c r="O1180" s="57">
        <v>267857</v>
      </c>
      <c r="P1180" s="62">
        <f t="shared" si="21"/>
        <v>267857</v>
      </c>
      <c r="Q1180" s="6" t="s">
        <v>397</v>
      </c>
      <c r="R1180" s="6" t="s">
        <v>398</v>
      </c>
      <c r="S1180" s="38">
        <v>431000000</v>
      </c>
      <c r="T1180" s="26">
        <v>0</v>
      </c>
    </row>
    <row r="1181" spans="1:20" s="46" customFormat="1" ht="25.5">
      <c r="A1181" s="17"/>
      <c r="B1181" s="6">
        <v>1165</v>
      </c>
      <c r="C1181" s="36" t="s">
        <v>714</v>
      </c>
      <c r="D1181" s="6" t="s">
        <v>601</v>
      </c>
      <c r="E1181" s="6" t="s">
        <v>531</v>
      </c>
      <c r="F1181" s="70" t="s">
        <v>532</v>
      </c>
      <c r="G1181" s="70" t="s">
        <v>533</v>
      </c>
      <c r="H1181" s="70" t="s">
        <v>1846</v>
      </c>
      <c r="I1181" s="70" t="s">
        <v>535</v>
      </c>
      <c r="J1181" s="70" t="s">
        <v>1847</v>
      </c>
      <c r="K1181" s="70" t="s">
        <v>64</v>
      </c>
      <c r="L1181" s="70" t="s">
        <v>595</v>
      </c>
      <c r="M1181" s="12" t="s">
        <v>918</v>
      </c>
      <c r="N1181" s="65">
        <v>1</v>
      </c>
      <c r="O1181" s="57">
        <v>267857</v>
      </c>
      <c r="P1181" s="62">
        <f t="shared" si="21"/>
        <v>267857</v>
      </c>
      <c r="Q1181" s="6" t="s">
        <v>616</v>
      </c>
      <c r="R1181" s="6" t="s">
        <v>505</v>
      </c>
      <c r="S1181" s="38" t="s">
        <v>719</v>
      </c>
      <c r="T1181" s="26">
        <v>0</v>
      </c>
    </row>
    <row r="1182" spans="1:20" s="39" customFormat="1" ht="66.75" customHeight="1">
      <c r="B1182" s="6">
        <v>1166</v>
      </c>
      <c r="C1182" s="16" t="s">
        <v>714</v>
      </c>
      <c r="D1182" s="6" t="s">
        <v>601</v>
      </c>
      <c r="E1182" s="6" t="s">
        <v>531</v>
      </c>
      <c r="F1182" s="70" t="s">
        <v>532</v>
      </c>
      <c r="G1182" s="70" t="s">
        <v>533</v>
      </c>
      <c r="H1182" s="70" t="s">
        <v>1846</v>
      </c>
      <c r="I1182" s="70" t="s">
        <v>535</v>
      </c>
      <c r="J1182" s="70" t="s">
        <v>1847</v>
      </c>
      <c r="K1182" s="70" t="s">
        <v>64</v>
      </c>
      <c r="L1182" s="70" t="s">
        <v>595</v>
      </c>
      <c r="M1182" s="12" t="s">
        <v>918</v>
      </c>
      <c r="N1182" s="26">
        <v>1</v>
      </c>
      <c r="O1182" s="57">
        <v>267857</v>
      </c>
      <c r="P1182" s="62">
        <f t="shared" si="21"/>
        <v>267857</v>
      </c>
      <c r="Q1182" s="6" t="s">
        <v>616</v>
      </c>
      <c r="R1182" s="6" t="s">
        <v>505</v>
      </c>
      <c r="S1182" s="38">
        <v>551000000</v>
      </c>
      <c r="T1182" s="26">
        <v>30</v>
      </c>
    </row>
    <row r="1183" spans="1:20" ht="25.5">
      <c r="B1183" s="6">
        <v>1167</v>
      </c>
      <c r="C1183" s="16" t="s">
        <v>945</v>
      </c>
      <c r="D1183" s="6" t="s">
        <v>601</v>
      </c>
      <c r="E1183" s="6" t="s">
        <v>531</v>
      </c>
      <c r="F1183" s="70" t="s">
        <v>532</v>
      </c>
      <c r="G1183" s="70" t="s">
        <v>533</v>
      </c>
      <c r="H1183" s="70" t="s">
        <v>1846</v>
      </c>
      <c r="I1183" s="70" t="s">
        <v>535</v>
      </c>
      <c r="J1183" s="70" t="s">
        <v>1847</v>
      </c>
      <c r="K1183" s="70" t="s">
        <v>64</v>
      </c>
      <c r="L1183" s="70" t="s">
        <v>595</v>
      </c>
      <c r="M1183" s="12" t="s">
        <v>918</v>
      </c>
      <c r="N1183" s="26">
        <v>1</v>
      </c>
      <c r="O1183" s="57">
        <v>267857</v>
      </c>
      <c r="P1183" s="62">
        <f t="shared" si="21"/>
        <v>267857</v>
      </c>
      <c r="Q1183" s="6" t="s">
        <v>519</v>
      </c>
      <c r="R1183" s="6" t="s">
        <v>616</v>
      </c>
      <c r="S1183" s="38">
        <v>591000000</v>
      </c>
      <c r="T1183" s="26">
        <v>100</v>
      </c>
    </row>
    <row r="1184" spans="1:20" ht="51">
      <c r="B1184" s="6">
        <v>1168</v>
      </c>
      <c r="C1184" s="16" t="s">
        <v>714</v>
      </c>
      <c r="D1184" s="6" t="s">
        <v>601</v>
      </c>
      <c r="E1184" s="6" t="s">
        <v>531</v>
      </c>
      <c r="F1184" s="70" t="s">
        <v>532</v>
      </c>
      <c r="G1184" s="70" t="s">
        <v>533</v>
      </c>
      <c r="H1184" s="70" t="s">
        <v>1846</v>
      </c>
      <c r="I1184" s="70" t="s">
        <v>535</v>
      </c>
      <c r="J1184" s="70" t="s">
        <v>1847</v>
      </c>
      <c r="K1184" s="70" t="s">
        <v>64</v>
      </c>
      <c r="L1184" s="70" t="s">
        <v>595</v>
      </c>
      <c r="M1184" s="12" t="s">
        <v>918</v>
      </c>
      <c r="N1184" s="26">
        <v>1</v>
      </c>
      <c r="O1184" s="57">
        <v>267857</v>
      </c>
      <c r="P1184" s="62">
        <f t="shared" si="21"/>
        <v>267857</v>
      </c>
      <c r="Q1184" s="6" t="s">
        <v>519</v>
      </c>
      <c r="R1184" s="6" t="s">
        <v>770</v>
      </c>
      <c r="S1184" s="38" t="s">
        <v>2037</v>
      </c>
      <c r="T1184" s="6">
        <v>30</v>
      </c>
    </row>
    <row r="1185" spans="1:20" ht="76.5" outlineLevel="1">
      <c r="B1185" s="6">
        <v>1169</v>
      </c>
      <c r="C1185" s="36" t="s">
        <v>714</v>
      </c>
      <c r="D1185" s="43" t="s">
        <v>601</v>
      </c>
      <c r="E1185" s="40" t="s">
        <v>536</v>
      </c>
      <c r="F1185" s="70" t="s">
        <v>537</v>
      </c>
      <c r="G1185" s="70" t="s">
        <v>538</v>
      </c>
      <c r="H1185" s="70" t="s">
        <v>537</v>
      </c>
      <c r="I1185" s="70" t="s">
        <v>538</v>
      </c>
      <c r="J1185" s="70" t="s">
        <v>2308</v>
      </c>
      <c r="K1185" s="70" t="s">
        <v>102</v>
      </c>
      <c r="L1185" s="70" t="s">
        <v>595</v>
      </c>
      <c r="M1185" s="12" t="s">
        <v>918</v>
      </c>
      <c r="N1185" s="26">
        <v>1</v>
      </c>
      <c r="O1185" s="57">
        <v>178571</v>
      </c>
      <c r="P1185" s="62">
        <f t="shared" si="21"/>
        <v>178571</v>
      </c>
      <c r="Q1185" s="6" t="s">
        <v>506</v>
      </c>
      <c r="R1185" s="6" t="s">
        <v>770</v>
      </c>
      <c r="S1185" s="38" t="s">
        <v>2038</v>
      </c>
      <c r="T1185" s="26">
        <v>30</v>
      </c>
    </row>
    <row r="1186" spans="1:20" ht="76.5">
      <c r="B1186" s="6">
        <v>1170</v>
      </c>
      <c r="C1186" s="16" t="s">
        <v>714</v>
      </c>
      <c r="D1186" s="6" t="s">
        <v>601</v>
      </c>
      <c r="E1186" s="40" t="s">
        <v>536</v>
      </c>
      <c r="F1186" s="70" t="s">
        <v>537</v>
      </c>
      <c r="G1186" s="70" t="s">
        <v>538</v>
      </c>
      <c r="H1186" s="70" t="s">
        <v>537</v>
      </c>
      <c r="I1186" s="70" t="s">
        <v>538</v>
      </c>
      <c r="J1186" s="70" t="s">
        <v>2308</v>
      </c>
      <c r="K1186" s="70" t="s">
        <v>102</v>
      </c>
      <c r="L1186" s="70" t="s">
        <v>595</v>
      </c>
      <c r="M1186" s="12" t="s">
        <v>918</v>
      </c>
      <c r="N1186" s="26">
        <v>1</v>
      </c>
      <c r="O1186" s="57">
        <v>178571</v>
      </c>
      <c r="P1186" s="62">
        <f t="shared" si="21"/>
        <v>178571</v>
      </c>
      <c r="Q1186" s="38" t="s">
        <v>519</v>
      </c>
      <c r="R1186" s="6" t="s">
        <v>770</v>
      </c>
      <c r="S1186" s="38" t="s">
        <v>1025</v>
      </c>
      <c r="T1186" s="6">
        <v>30</v>
      </c>
    </row>
    <row r="1187" spans="1:20" ht="76.5">
      <c r="B1187" s="6">
        <v>1171</v>
      </c>
      <c r="C1187" s="16" t="s">
        <v>714</v>
      </c>
      <c r="D1187" s="6" t="s">
        <v>601</v>
      </c>
      <c r="E1187" s="40" t="s">
        <v>536</v>
      </c>
      <c r="F1187" s="70" t="s">
        <v>537</v>
      </c>
      <c r="G1187" s="70" t="s">
        <v>538</v>
      </c>
      <c r="H1187" s="70" t="s">
        <v>537</v>
      </c>
      <c r="I1187" s="70" t="s">
        <v>538</v>
      </c>
      <c r="J1187" s="70" t="s">
        <v>2308</v>
      </c>
      <c r="K1187" s="70" t="s">
        <v>102</v>
      </c>
      <c r="L1187" s="70" t="s">
        <v>595</v>
      </c>
      <c r="M1187" s="12" t="s">
        <v>918</v>
      </c>
      <c r="N1187" s="26">
        <v>1</v>
      </c>
      <c r="O1187" s="57">
        <v>178571</v>
      </c>
      <c r="P1187" s="62">
        <f t="shared" si="21"/>
        <v>178571</v>
      </c>
      <c r="Q1187" s="6" t="s">
        <v>592</v>
      </c>
      <c r="R1187" s="6" t="s">
        <v>770</v>
      </c>
      <c r="S1187" s="38" t="s">
        <v>793</v>
      </c>
      <c r="T1187" s="6">
        <v>100</v>
      </c>
    </row>
    <row r="1188" spans="1:20" ht="76.5" outlineLevel="1">
      <c r="A1188" s="61"/>
      <c r="B1188" s="6">
        <v>1172</v>
      </c>
      <c r="C1188" s="16" t="s">
        <v>714</v>
      </c>
      <c r="D1188" s="6" t="s">
        <v>601</v>
      </c>
      <c r="E1188" s="40" t="s">
        <v>536</v>
      </c>
      <c r="F1188" s="70" t="s">
        <v>537</v>
      </c>
      <c r="G1188" s="70" t="s">
        <v>538</v>
      </c>
      <c r="H1188" s="70" t="s">
        <v>537</v>
      </c>
      <c r="I1188" s="70" t="s">
        <v>538</v>
      </c>
      <c r="J1188" s="70" t="s">
        <v>2308</v>
      </c>
      <c r="K1188" s="70" t="s">
        <v>102</v>
      </c>
      <c r="L1188" s="70" t="s">
        <v>595</v>
      </c>
      <c r="M1188" s="12" t="s">
        <v>918</v>
      </c>
      <c r="N1188" s="26">
        <v>1</v>
      </c>
      <c r="O1188" s="57">
        <v>178571</v>
      </c>
      <c r="P1188" s="62">
        <f t="shared" si="21"/>
        <v>178571</v>
      </c>
      <c r="Q1188" s="6" t="s">
        <v>397</v>
      </c>
      <c r="R1188" s="6" t="s">
        <v>770</v>
      </c>
      <c r="S1188" s="38" t="s">
        <v>2035</v>
      </c>
      <c r="T1188" s="26">
        <v>30</v>
      </c>
    </row>
    <row r="1189" spans="1:20" s="46" customFormat="1" ht="76.5">
      <c r="A1189" s="17"/>
      <c r="B1189" s="6">
        <v>1173</v>
      </c>
      <c r="C1189" s="16" t="s">
        <v>714</v>
      </c>
      <c r="D1189" s="6" t="s">
        <v>601</v>
      </c>
      <c r="E1189" s="40" t="s">
        <v>536</v>
      </c>
      <c r="F1189" s="70" t="s">
        <v>537</v>
      </c>
      <c r="G1189" s="70" t="s">
        <v>538</v>
      </c>
      <c r="H1189" s="70" t="s">
        <v>537</v>
      </c>
      <c r="I1189" s="70" t="s">
        <v>538</v>
      </c>
      <c r="J1189" s="70" t="s">
        <v>2308</v>
      </c>
      <c r="K1189" s="70" t="s">
        <v>102</v>
      </c>
      <c r="L1189" s="70" t="s">
        <v>595</v>
      </c>
      <c r="M1189" s="12" t="s">
        <v>918</v>
      </c>
      <c r="N1189" s="26">
        <v>1</v>
      </c>
      <c r="O1189" s="57">
        <f>P1189/N1189</f>
        <v>0</v>
      </c>
      <c r="P1189" s="62">
        <f>178571-178571</f>
        <v>0</v>
      </c>
      <c r="Q1189" s="6" t="s">
        <v>395</v>
      </c>
      <c r="R1189" s="6" t="s">
        <v>395</v>
      </c>
      <c r="S1189" s="38" t="s">
        <v>2030</v>
      </c>
      <c r="T1189" s="26">
        <v>30</v>
      </c>
    </row>
    <row r="1190" spans="1:20" s="14" customFormat="1" ht="76.5">
      <c r="A1190" s="17"/>
      <c r="B1190" s="6">
        <v>1174</v>
      </c>
      <c r="C1190" s="16" t="s">
        <v>714</v>
      </c>
      <c r="D1190" s="6" t="s">
        <v>601</v>
      </c>
      <c r="E1190" s="40" t="s">
        <v>536</v>
      </c>
      <c r="F1190" s="70" t="s">
        <v>537</v>
      </c>
      <c r="G1190" s="70" t="s">
        <v>538</v>
      </c>
      <c r="H1190" s="70" t="s">
        <v>537</v>
      </c>
      <c r="I1190" s="70" t="s">
        <v>538</v>
      </c>
      <c r="J1190" s="70" t="s">
        <v>2308</v>
      </c>
      <c r="K1190" s="70" t="s">
        <v>102</v>
      </c>
      <c r="L1190" s="70" t="s">
        <v>595</v>
      </c>
      <c r="M1190" s="12" t="s">
        <v>918</v>
      </c>
      <c r="N1190" s="26">
        <v>1</v>
      </c>
      <c r="O1190" s="57">
        <v>178571</v>
      </c>
      <c r="P1190" s="62">
        <f t="shared" si="21"/>
        <v>178571</v>
      </c>
      <c r="Q1190" s="6" t="s">
        <v>616</v>
      </c>
      <c r="R1190" s="6" t="s">
        <v>770</v>
      </c>
      <c r="S1190" s="38" t="s">
        <v>2031</v>
      </c>
      <c r="T1190" s="26">
        <v>50</v>
      </c>
    </row>
    <row r="1191" spans="1:20" ht="76.5" outlineLevel="1">
      <c r="B1191" s="6">
        <v>1175</v>
      </c>
      <c r="C1191" s="16" t="s">
        <v>714</v>
      </c>
      <c r="D1191" s="6" t="s">
        <v>601</v>
      </c>
      <c r="E1191" s="40" t="s">
        <v>536</v>
      </c>
      <c r="F1191" s="70" t="s">
        <v>537</v>
      </c>
      <c r="G1191" s="70" t="s">
        <v>538</v>
      </c>
      <c r="H1191" s="70" t="s">
        <v>537</v>
      </c>
      <c r="I1191" s="70" t="s">
        <v>538</v>
      </c>
      <c r="J1191" s="70" t="s">
        <v>2308</v>
      </c>
      <c r="K1191" s="70" t="s">
        <v>102</v>
      </c>
      <c r="L1191" s="70" t="s">
        <v>595</v>
      </c>
      <c r="M1191" s="12" t="s">
        <v>918</v>
      </c>
      <c r="N1191" s="26">
        <v>1</v>
      </c>
      <c r="O1191" s="57">
        <v>178571</v>
      </c>
      <c r="P1191" s="62">
        <f t="shared" si="21"/>
        <v>178571</v>
      </c>
      <c r="Q1191" s="6" t="s">
        <v>395</v>
      </c>
      <c r="R1191" s="6" t="s">
        <v>1055</v>
      </c>
      <c r="S1191" s="38" t="s">
        <v>637</v>
      </c>
      <c r="T1191" s="26">
        <v>0</v>
      </c>
    </row>
    <row r="1192" spans="1:20" ht="76.5" outlineLevel="1">
      <c r="B1192" s="6">
        <v>1176</v>
      </c>
      <c r="C1192" s="16" t="s">
        <v>714</v>
      </c>
      <c r="D1192" s="6" t="s">
        <v>601</v>
      </c>
      <c r="E1192" s="40" t="s">
        <v>536</v>
      </c>
      <c r="F1192" s="70" t="s">
        <v>537</v>
      </c>
      <c r="G1192" s="70" t="s">
        <v>538</v>
      </c>
      <c r="H1192" s="70" t="s">
        <v>537</v>
      </c>
      <c r="I1192" s="70" t="s">
        <v>538</v>
      </c>
      <c r="J1192" s="70" t="s">
        <v>2308</v>
      </c>
      <c r="K1192" s="70" t="s">
        <v>102</v>
      </c>
      <c r="L1192" s="70" t="s">
        <v>595</v>
      </c>
      <c r="M1192" s="12" t="s">
        <v>918</v>
      </c>
      <c r="N1192" s="26">
        <v>1</v>
      </c>
      <c r="O1192" s="57">
        <f>P1192/N1192</f>
        <v>28571</v>
      </c>
      <c r="P1192" s="62">
        <f>178571-150000</f>
        <v>28571</v>
      </c>
      <c r="Q1192" s="6" t="s">
        <v>519</v>
      </c>
      <c r="R1192" s="6" t="s">
        <v>770</v>
      </c>
      <c r="S1192" s="38">
        <v>311000000</v>
      </c>
      <c r="T1192" s="26">
        <v>30</v>
      </c>
    </row>
    <row r="1193" spans="1:20" s="47" customFormat="1" ht="76.5">
      <c r="A1193" s="17"/>
      <c r="B1193" s="6">
        <v>1177</v>
      </c>
      <c r="C1193" s="16" t="s">
        <v>714</v>
      </c>
      <c r="D1193" s="6" t="s">
        <v>601</v>
      </c>
      <c r="E1193" s="40" t="s">
        <v>536</v>
      </c>
      <c r="F1193" s="70" t="s">
        <v>537</v>
      </c>
      <c r="G1193" s="70" t="s">
        <v>538</v>
      </c>
      <c r="H1193" s="70" t="s">
        <v>537</v>
      </c>
      <c r="I1193" s="70" t="s">
        <v>538</v>
      </c>
      <c r="J1193" s="70" t="s">
        <v>2308</v>
      </c>
      <c r="K1193" s="70" t="s">
        <v>102</v>
      </c>
      <c r="L1193" s="70" t="s">
        <v>595</v>
      </c>
      <c r="M1193" s="12" t="s">
        <v>918</v>
      </c>
      <c r="N1193" s="26">
        <v>1</v>
      </c>
      <c r="O1193" s="57">
        <v>178571</v>
      </c>
      <c r="P1193" s="62">
        <f t="shared" si="21"/>
        <v>178571</v>
      </c>
      <c r="Q1193" s="6" t="s">
        <v>397</v>
      </c>
      <c r="R1193" s="6" t="s">
        <v>770</v>
      </c>
      <c r="S1193" s="38" t="s">
        <v>2032</v>
      </c>
      <c r="T1193" s="6">
        <v>30</v>
      </c>
    </row>
    <row r="1194" spans="1:20" s="46" customFormat="1" ht="76.5">
      <c r="A1194" s="17"/>
      <c r="B1194" s="6">
        <v>1178</v>
      </c>
      <c r="C1194" s="16" t="s">
        <v>714</v>
      </c>
      <c r="D1194" s="6" t="s">
        <v>601</v>
      </c>
      <c r="E1194" s="40" t="s">
        <v>536</v>
      </c>
      <c r="F1194" s="70" t="s">
        <v>537</v>
      </c>
      <c r="G1194" s="70" t="s">
        <v>538</v>
      </c>
      <c r="H1194" s="70" t="s">
        <v>537</v>
      </c>
      <c r="I1194" s="70" t="s">
        <v>538</v>
      </c>
      <c r="J1194" s="70" t="s">
        <v>2308</v>
      </c>
      <c r="K1194" s="70" t="s">
        <v>102</v>
      </c>
      <c r="L1194" s="70" t="s">
        <v>595</v>
      </c>
      <c r="M1194" s="12" t="s">
        <v>918</v>
      </c>
      <c r="N1194" s="26">
        <v>1</v>
      </c>
      <c r="O1194" s="57">
        <f>P1194/N1194</f>
        <v>0</v>
      </c>
      <c r="P1194" s="62">
        <f>178571-51429-83090-44052</f>
        <v>0</v>
      </c>
      <c r="Q1194" s="6" t="s">
        <v>397</v>
      </c>
      <c r="R1194" s="6" t="s">
        <v>770</v>
      </c>
      <c r="S1194" s="38">
        <v>351000000</v>
      </c>
      <c r="T1194" s="26">
        <v>30</v>
      </c>
    </row>
    <row r="1195" spans="1:20" ht="76.5">
      <c r="B1195" s="6">
        <v>1179</v>
      </c>
      <c r="C1195" s="16" t="s">
        <v>714</v>
      </c>
      <c r="D1195" s="6" t="s">
        <v>601</v>
      </c>
      <c r="E1195" s="40" t="s">
        <v>536</v>
      </c>
      <c r="F1195" s="70" t="s">
        <v>537</v>
      </c>
      <c r="G1195" s="70" t="s">
        <v>538</v>
      </c>
      <c r="H1195" s="70" t="s">
        <v>537</v>
      </c>
      <c r="I1195" s="70" t="s">
        <v>538</v>
      </c>
      <c r="J1195" s="70" t="s">
        <v>2308</v>
      </c>
      <c r="K1195" s="70" t="s">
        <v>102</v>
      </c>
      <c r="L1195" s="70" t="s">
        <v>595</v>
      </c>
      <c r="M1195" s="12" t="s">
        <v>918</v>
      </c>
      <c r="N1195" s="26">
        <v>1</v>
      </c>
      <c r="O1195" s="57">
        <f>P1195/N1195</f>
        <v>0</v>
      </c>
      <c r="P1195" s="62">
        <f>178571-178571</f>
        <v>0</v>
      </c>
      <c r="Q1195" s="6" t="s">
        <v>703</v>
      </c>
      <c r="R1195" s="6" t="s">
        <v>770</v>
      </c>
      <c r="S1195" s="38" t="s">
        <v>929</v>
      </c>
      <c r="T1195" s="26">
        <v>100</v>
      </c>
    </row>
    <row r="1196" spans="1:20" s="46" customFormat="1" ht="76.5">
      <c r="A1196" s="17"/>
      <c r="B1196" s="6">
        <v>1180</v>
      </c>
      <c r="C1196" s="16" t="s">
        <v>714</v>
      </c>
      <c r="D1196" s="6" t="s">
        <v>601</v>
      </c>
      <c r="E1196" s="40" t="s">
        <v>536</v>
      </c>
      <c r="F1196" s="70" t="s">
        <v>537</v>
      </c>
      <c r="G1196" s="70" t="s">
        <v>538</v>
      </c>
      <c r="H1196" s="70" t="s">
        <v>537</v>
      </c>
      <c r="I1196" s="70" t="s">
        <v>538</v>
      </c>
      <c r="J1196" s="70" t="s">
        <v>2308</v>
      </c>
      <c r="K1196" s="70" t="s">
        <v>102</v>
      </c>
      <c r="L1196" s="70" t="s">
        <v>595</v>
      </c>
      <c r="M1196" s="12" t="s">
        <v>918</v>
      </c>
      <c r="N1196" s="26">
        <v>1</v>
      </c>
      <c r="O1196" s="57">
        <v>178571</v>
      </c>
      <c r="P1196" s="62">
        <f t="shared" si="21"/>
        <v>178571</v>
      </c>
      <c r="Q1196" s="6" t="s">
        <v>397</v>
      </c>
      <c r="R1196" s="6" t="s">
        <v>398</v>
      </c>
      <c r="S1196" s="38">
        <v>431000000</v>
      </c>
      <c r="T1196" s="26">
        <v>0</v>
      </c>
    </row>
    <row r="1197" spans="1:20" s="46" customFormat="1" ht="56.25" customHeight="1">
      <c r="A1197" s="17"/>
      <c r="B1197" s="6">
        <v>1181</v>
      </c>
      <c r="C1197" s="36" t="s">
        <v>714</v>
      </c>
      <c r="D1197" s="43" t="s">
        <v>601</v>
      </c>
      <c r="E1197" s="40" t="s">
        <v>536</v>
      </c>
      <c r="F1197" s="70" t="s">
        <v>537</v>
      </c>
      <c r="G1197" s="70" t="s">
        <v>538</v>
      </c>
      <c r="H1197" s="70" t="s">
        <v>537</v>
      </c>
      <c r="I1197" s="70" t="s">
        <v>538</v>
      </c>
      <c r="J1197" s="70" t="s">
        <v>2308</v>
      </c>
      <c r="K1197" s="70" t="s">
        <v>102</v>
      </c>
      <c r="L1197" s="70" t="s">
        <v>595</v>
      </c>
      <c r="M1197" s="12" t="s">
        <v>918</v>
      </c>
      <c r="N1197" s="65">
        <v>1</v>
      </c>
      <c r="O1197" s="57">
        <v>178571</v>
      </c>
      <c r="P1197" s="62">
        <f t="shared" si="21"/>
        <v>178571</v>
      </c>
      <c r="Q1197" s="6" t="s">
        <v>397</v>
      </c>
      <c r="R1197" s="6" t="s">
        <v>770</v>
      </c>
      <c r="S1197" s="38" t="s">
        <v>719</v>
      </c>
      <c r="T1197" s="26">
        <v>0</v>
      </c>
    </row>
    <row r="1198" spans="1:20" s="39" customFormat="1" ht="76.5">
      <c r="B1198" s="6">
        <v>1182</v>
      </c>
      <c r="C1198" s="16" t="s">
        <v>714</v>
      </c>
      <c r="D1198" s="6" t="s">
        <v>601</v>
      </c>
      <c r="E1198" s="40" t="s">
        <v>536</v>
      </c>
      <c r="F1198" s="70" t="s">
        <v>537</v>
      </c>
      <c r="G1198" s="70" t="s">
        <v>538</v>
      </c>
      <c r="H1198" s="70" t="s">
        <v>537</v>
      </c>
      <c r="I1198" s="70" t="s">
        <v>538</v>
      </c>
      <c r="J1198" s="70" t="s">
        <v>2308</v>
      </c>
      <c r="K1198" s="70" t="s">
        <v>102</v>
      </c>
      <c r="L1198" s="70" t="s">
        <v>595</v>
      </c>
      <c r="M1198" s="12" t="s">
        <v>918</v>
      </c>
      <c r="N1198" s="26">
        <v>1</v>
      </c>
      <c r="O1198" s="57">
        <f>P1198/N1198</f>
        <v>0</v>
      </c>
      <c r="P1198" s="62">
        <f>178571-178571</f>
        <v>0</v>
      </c>
      <c r="Q1198" s="6" t="s">
        <v>397</v>
      </c>
      <c r="R1198" s="6" t="s">
        <v>770</v>
      </c>
      <c r="S1198" s="38">
        <v>551000000</v>
      </c>
      <c r="T1198" s="26">
        <v>30</v>
      </c>
    </row>
    <row r="1199" spans="1:20" s="46" customFormat="1" ht="76.5">
      <c r="A1199" s="17"/>
      <c r="B1199" s="6">
        <v>1183</v>
      </c>
      <c r="C1199" s="16" t="s">
        <v>945</v>
      </c>
      <c r="D1199" s="6" t="s">
        <v>601</v>
      </c>
      <c r="E1199" s="40" t="s">
        <v>536</v>
      </c>
      <c r="F1199" s="70" t="s">
        <v>537</v>
      </c>
      <c r="G1199" s="70" t="s">
        <v>538</v>
      </c>
      <c r="H1199" s="70" t="s">
        <v>537</v>
      </c>
      <c r="I1199" s="70" t="s">
        <v>538</v>
      </c>
      <c r="J1199" s="70" t="s">
        <v>2308</v>
      </c>
      <c r="K1199" s="70" t="s">
        <v>102</v>
      </c>
      <c r="L1199" s="70" t="s">
        <v>595</v>
      </c>
      <c r="M1199" s="12" t="s">
        <v>918</v>
      </c>
      <c r="N1199" s="26">
        <v>1</v>
      </c>
      <c r="O1199" s="57">
        <v>178571</v>
      </c>
      <c r="P1199" s="62">
        <f t="shared" si="21"/>
        <v>178571</v>
      </c>
      <c r="Q1199" s="6" t="s">
        <v>510</v>
      </c>
      <c r="R1199" s="6" t="s">
        <v>590</v>
      </c>
      <c r="S1199" s="38">
        <v>591000000</v>
      </c>
      <c r="T1199" s="26">
        <v>30</v>
      </c>
    </row>
    <row r="1200" spans="1:20" s="46" customFormat="1" ht="76.5">
      <c r="A1200" s="17"/>
      <c r="B1200" s="6">
        <v>1184</v>
      </c>
      <c r="C1200" s="16" t="s">
        <v>714</v>
      </c>
      <c r="D1200" s="6" t="s">
        <v>601</v>
      </c>
      <c r="E1200" s="40" t="s">
        <v>536</v>
      </c>
      <c r="F1200" s="70" t="s">
        <v>537</v>
      </c>
      <c r="G1200" s="70" t="s">
        <v>538</v>
      </c>
      <c r="H1200" s="70" t="s">
        <v>537</v>
      </c>
      <c r="I1200" s="70" t="s">
        <v>538</v>
      </c>
      <c r="J1200" s="70" t="s">
        <v>2308</v>
      </c>
      <c r="K1200" s="70" t="s">
        <v>102</v>
      </c>
      <c r="L1200" s="70" t="s">
        <v>595</v>
      </c>
      <c r="M1200" s="12" t="s">
        <v>918</v>
      </c>
      <c r="N1200" s="26">
        <v>1</v>
      </c>
      <c r="O1200" s="57">
        <v>178571</v>
      </c>
      <c r="P1200" s="62">
        <f t="shared" si="21"/>
        <v>178571</v>
      </c>
      <c r="Q1200" s="6" t="s">
        <v>702</v>
      </c>
      <c r="R1200" s="6" t="s">
        <v>702</v>
      </c>
      <c r="S1200" s="38" t="s">
        <v>2037</v>
      </c>
      <c r="T1200" s="6">
        <v>30</v>
      </c>
    </row>
    <row r="1201" spans="1:20" ht="51">
      <c r="B1201" s="6">
        <v>1185</v>
      </c>
      <c r="C1201" s="16" t="s">
        <v>714</v>
      </c>
      <c r="D1201" s="6" t="s">
        <v>601</v>
      </c>
      <c r="E1201" s="6" t="s">
        <v>539</v>
      </c>
      <c r="F1201" s="70" t="s">
        <v>540</v>
      </c>
      <c r="G1201" s="70" t="s">
        <v>541</v>
      </c>
      <c r="H1201" s="70" t="s">
        <v>542</v>
      </c>
      <c r="I1201" s="70" t="s">
        <v>543</v>
      </c>
      <c r="J1201" s="70" t="s">
        <v>1536</v>
      </c>
      <c r="K1201" s="70" t="s">
        <v>80</v>
      </c>
      <c r="L1201" s="70" t="s">
        <v>595</v>
      </c>
      <c r="M1201" s="12" t="s">
        <v>918</v>
      </c>
      <c r="N1201" s="26">
        <v>1</v>
      </c>
      <c r="O1201" s="57">
        <v>1339286</v>
      </c>
      <c r="P1201" s="62">
        <f t="shared" si="21"/>
        <v>1339286</v>
      </c>
      <c r="Q1201" s="6" t="s">
        <v>397</v>
      </c>
      <c r="R1201" s="6" t="s">
        <v>770</v>
      </c>
      <c r="S1201" s="38" t="s">
        <v>1179</v>
      </c>
      <c r="T1201" s="26">
        <v>0</v>
      </c>
    </row>
    <row r="1202" spans="1:20" s="46" customFormat="1" ht="51">
      <c r="A1202" s="17"/>
      <c r="B1202" s="6">
        <v>1186</v>
      </c>
      <c r="C1202" s="36" t="s">
        <v>714</v>
      </c>
      <c r="D1202" s="43" t="s">
        <v>601</v>
      </c>
      <c r="E1202" s="6" t="s">
        <v>539</v>
      </c>
      <c r="F1202" s="70" t="s">
        <v>540</v>
      </c>
      <c r="G1202" s="70" t="s">
        <v>541</v>
      </c>
      <c r="H1202" s="70" t="s">
        <v>542</v>
      </c>
      <c r="I1202" s="70" t="s">
        <v>543</v>
      </c>
      <c r="J1202" s="70" t="s">
        <v>1536</v>
      </c>
      <c r="K1202" s="70" t="s">
        <v>80</v>
      </c>
      <c r="L1202" s="70" t="s">
        <v>595</v>
      </c>
      <c r="M1202" s="12" t="s">
        <v>918</v>
      </c>
      <c r="N1202" s="26">
        <v>1</v>
      </c>
      <c r="O1202" s="57">
        <v>89880</v>
      </c>
      <c r="P1202" s="62">
        <f t="shared" si="21"/>
        <v>89880</v>
      </c>
      <c r="Q1202" s="6" t="s">
        <v>395</v>
      </c>
      <c r="R1202" s="6" t="s">
        <v>770</v>
      </c>
      <c r="S1202" s="38" t="s">
        <v>2038</v>
      </c>
      <c r="T1202" s="26">
        <v>100</v>
      </c>
    </row>
    <row r="1203" spans="1:20" s="46" customFormat="1" ht="51">
      <c r="A1203" s="17"/>
      <c r="B1203" s="6">
        <v>1187</v>
      </c>
      <c r="C1203" s="16" t="s">
        <v>714</v>
      </c>
      <c r="D1203" s="6" t="s">
        <v>601</v>
      </c>
      <c r="E1203" s="6" t="s">
        <v>539</v>
      </c>
      <c r="F1203" s="70" t="s">
        <v>540</v>
      </c>
      <c r="G1203" s="70" t="s">
        <v>541</v>
      </c>
      <c r="H1203" s="70" t="s">
        <v>542</v>
      </c>
      <c r="I1203" s="70" t="s">
        <v>543</v>
      </c>
      <c r="J1203" s="70" t="s">
        <v>1536</v>
      </c>
      <c r="K1203" s="70" t="s">
        <v>80</v>
      </c>
      <c r="L1203" s="70" t="s">
        <v>595</v>
      </c>
      <c r="M1203" s="12" t="s">
        <v>918</v>
      </c>
      <c r="N1203" s="26">
        <v>1</v>
      </c>
      <c r="O1203" s="57">
        <v>128571</v>
      </c>
      <c r="P1203" s="62">
        <f t="shared" si="21"/>
        <v>128571</v>
      </c>
      <c r="Q1203" s="6" t="s">
        <v>397</v>
      </c>
      <c r="R1203" s="6" t="s">
        <v>770</v>
      </c>
      <c r="S1203" s="38" t="s">
        <v>1025</v>
      </c>
      <c r="T1203" s="6">
        <v>100</v>
      </c>
    </row>
    <row r="1204" spans="1:20" s="46" customFormat="1" ht="51">
      <c r="A1204" s="17"/>
      <c r="B1204" s="6">
        <v>1188</v>
      </c>
      <c r="C1204" s="16" t="s">
        <v>714</v>
      </c>
      <c r="D1204" s="6" t="s">
        <v>601</v>
      </c>
      <c r="E1204" s="6" t="s">
        <v>539</v>
      </c>
      <c r="F1204" s="70" t="s">
        <v>540</v>
      </c>
      <c r="G1204" s="70" t="s">
        <v>541</v>
      </c>
      <c r="H1204" s="70" t="s">
        <v>542</v>
      </c>
      <c r="I1204" s="70" t="s">
        <v>543</v>
      </c>
      <c r="J1204" s="70" t="s">
        <v>1536</v>
      </c>
      <c r="K1204" s="70" t="s">
        <v>80</v>
      </c>
      <c r="L1204" s="70" t="s">
        <v>595</v>
      </c>
      <c r="M1204" s="12" t="s">
        <v>918</v>
      </c>
      <c r="N1204" s="26">
        <v>1</v>
      </c>
      <c r="O1204" s="57">
        <v>160714</v>
      </c>
      <c r="P1204" s="62">
        <f t="shared" si="21"/>
        <v>160714</v>
      </c>
      <c r="Q1204" s="6" t="s">
        <v>703</v>
      </c>
      <c r="R1204" s="6" t="s">
        <v>770</v>
      </c>
      <c r="S1204" s="38" t="s">
        <v>793</v>
      </c>
      <c r="T1204" s="6">
        <v>100</v>
      </c>
    </row>
    <row r="1205" spans="1:20" s="46" customFormat="1" ht="51">
      <c r="A1205" s="17"/>
      <c r="B1205" s="6">
        <v>1189</v>
      </c>
      <c r="C1205" s="16" t="s">
        <v>714</v>
      </c>
      <c r="D1205" s="6" t="s">
        <v>601</v>
      </c>
      <c r="E1205" s="6" t="s">
        <v>539</v>
      </c>
      <c r="F1205" s="70" t="s">
        <v>540</v>
      </c>
      <c r="G1205" s="70" t="s">
        <v>541</v>
      </c>
      <c r="H1205" s="70" t="s">
        <v>542</v>
      </c>
      <c r="I1205" s="70" t="s">
        <v>543</v>
      </c>
      <c r="J1205" s="70" t="s">
        <v>1536</v>
      </c>
      <c r="K1205" s="70" t="s">
        <v>80</v>
      </c>
      <c r="L1205" s="70" t="s">
        <v>595</v>
      </c>
      <c r="M1205" s="12" t="s">
        <v>918</v>
      </c>
      <c r="N1205" s="26">
        <v>1</v>
      </c>
      <c r="O1205" s="57">
        <v>160714</v>
      </c>
      <c r="P1205" s="62">
        <f t="shared" si="21"/>
        <v>160714</v>
      </c>
      <c r="Q1205" s="6" t="s">
        <v>397</v>
      </c>
      <c r="R1205" s="6" t="s">
        <v>770</v>
      </c>
      <c r="S1205" s="38" t="s">
        <v>2030</v>
      </c>
      <c r="T1205" s="26">
        <v>0</v>
      </c>
    </row>
    <row r="1206" spans="1:20" s="46" customFormat="1" ht="51">
      <c r="B1206" s="6">
        <v>1190</v>
      </c>
      <c r="C1206" s="16" t="s">
        <v>714</v>
      </c>
      <c r="D1206" s="6" t="s">
        <v>601</v>
      </c>
      <c r="E1206" s="6" t="s">
        <v>539</v>
      </c>
      <c r="F1206" s="70" t="s">
        <v>540</v>
      </c>
      <c r="G1206" s="70" t="s">
        <v>541</v>
      </c>
      <c r="H1206" s="70" t="s">
        <v>542</v>
      </c>
      <c r="I1206" s="70" t="s">
        <v>543</v>
      </c>
      <c r="J1206" s="70" t="s">
        <v>1536</v>
      </c>
      <c r="K1206" s="70" t="s">
        <v>80</v>
      </c>
      <c r="L1206" s="70" t="s">
        <v>595</v>
      </c>
      <c r="M1206" s="12" t="s">
        <v>918</v>
      </c>
      <c r="N1206" s="26">
        <v>1</v>
      </c>
      <c r="O1206" s="57">
        <v>312500</v>
      </c>
      <c r="P1206" s="62">
        <f t="shared" si="21"/>
        <v>312500</v>
      </c>
      <c r="Q1206" s="6" t="s">
        <v>397</v>
      </c>
      <c r="R1206" s="6" t="s">
        <v>770</v>
      </c>
      <c r="S1206" s="38" t="s">
        <v>2035</v>
      </c>
      <c r="T1206" s="26">
        <v>100</v>
      </c>
    </row>
    <row r="1207" spans="1:20" s="14" customFormat="1" ht="51">
      <c r="A1207" s="17"/>
      <c r="B1207" s="6">
        <v>1191</v>
      </c>
      <c r="C1207" s="16" t="s">
        <v>714</v>
      </c>
      <c r="D1207" s="6" t="s">
        <v>601</v>
      </c>
      <c r="E1207" s="6" t="s">
        <v>539</v>
      </c>
      <c r="F1207" s="70" t="s">
        <v>540</v>
      </c>
      <c r="G1207" s="70" t="s">
        <v>541</v>
      </c>
      <c r="H1207" s="70" t="s">
        <v>542</v>
      </c>
      <c r="I1207" s="70" t="s">
        <v>543</v>
      </c>
      <c r="J1207" s="70" t="s">
        <v>1536</v>
      </c>
      <c r="K1207" s="70" t="s">
        <v>80</v>
      </c>
      <c r="L1207" s="70" t="s">
        <v>595</v>
      </c>
      <c r="M1207" s="12" t="s">
        <v>918</v>
      </c>
      <c r="N1207" s="26">
        <v>1</v>
      </c>
      <c r="O1207" s="57">
        <v>107143</v>
      </c>
      <c r="P1207" s="62">
        <f t="shared" si="21"/>
        <v>107143</v>
      </c>
      <c r="Q1207" s="6" t="s">
        <v>397</v>
      </c>
      <c r="R1207" s="6" t="s">
        <v>770</v>
      </c>
      <c r="S1207" s="38" t="s">
        <v>2031</v>
      </c>
      <c r="T1207" s="26">
        <v>100</v>
      </c>
    </row>
    <row r="1208" spans="1:20" ht="51">
      <c r="B1208" s="6">
        <v>1192</v>
      </c>
      <c r="C1208" s="16" t="s">
        <v>714</v>
      </c>
      <c r="D1208" s="6" t="s">
        <v>601</v>
      </c>
      <c r="E1208" s="6" t="s">
        <v>539</v>
      </c>
      <c r="F1208" s="70" t="s">
        <v>540</v>
      </c>
      <c r="G1208" s="70" t="s">
        <v>541</v>
      </c>
      <c r="H1208" s="70" t="s">
        <v>542</v>
      </c>
      <c r="I1208" s="70" t="s">
        <v>543</v>
      </c>
      <c r="J1208" s="70" t="s">
        <v>1536</v>
      </c>
      <c r="K1208" s="70" t="s">
        <v>80</v>
      </c>
      <c r="L1208" s="70" t="s">
        <v>595</v>
      </c>
      <c r="M1208" s="12" t="s">
        <v>918</v>
      </c>
      <c r="N1208" s="26">
        <v>1</v>
      </c>
      <c r="O1208" s="57">
        <v>250000</v>
      </c>
      <c r="P1208" s="62">
        <f t="shared" si="21"/>
        <v>250000</v>
      </c>
      <c r="Q1208" s="6" t="s">
        <v>397</v>
      </c>
      <c r="R1208" s="6" t="s">
        <v>770</v>
      </c>
      <c r="S1208" s="38" t="s">
        <v>637</v>
      </c>
      <c r="T1208" s="26">
        <v>100</v>
      </c>
    </row>
    <row r="1209" spans="1:20" s="42" customFormat="1" ht="51">
      <c r="A1209" s="17"/>
      <c r="B1209" s="6">
        <v>1193</v>
      </c>
      <c r="C1209" s="16" t="s">
        <v>714</v>
      </c>
      <c r="D1209" s="6" t="s">
        <v>601</v>
      </c>
      <c r="E1209" s="6" t="s">
        <v>539</v>
      </c>
      <c r="F1209" s="70" t="s">
        <v>540</v>
      </c>
      <c r="G1209" s="70" t="s">
        <v>541</v>
      </c>
      <c r="H1209" s="70" t="s">
        <v>542</v>
      </c>
      <c r="I1209" s="70" t="s">
        <v>543</v>
      </c>
      <c r="J1209" s="70" t="s">
        <v>1536</v>
      </c>
      <c r="K1209" s="70" t="s">
        <v>80</v>
      </c>
      <c r="L1209" s="70" t="s">
        <v>595</v>
      </c>
      <c r="M1209" s="12" t="s">
        <v>918</v>
      </c>
      <c r="N1209" s="26">
        <v>1</v>
      </c>
      <c r="O1209" s="57">
        <v>223214</v>
      </c>
      <c r="P1209" s="62">
        <f t="shared" si="21"/>
        <v>223214</v>
      </c>
      <c r="Q1209" s="6" t="s">
        <v>397</v>
      </c>
      <c r="R1209" s="6" t="s">
        <v>770</v>
      </c>
      <c r="S1209" s="38">
        <v>311000000</v>
      </c>
      <c r="T1209" s="26">
        <v>0</v>
      </c>
    </row>
    <row r="1210" spans="1:20" s="47" customFormat="1" ht="51">
      <c r="A1210" s="17"/>
      <c r="B1210" s="6">
        <v>1194</v>
      </c>
      <c r="C1210" s="16" t="s">
        <v>714</v>
      </c>
      <c r="D1210" s="6" t="s">
        <v>601</v>
      </c>
      <c r="E1210" s="6" t="s">
        <v>539</v>
      </c>
      <c r="F1210" s="70" t="s">
        <v>540</v>
      </c>
      <c r="G1210" s="70" t="s">
        <v>541</v>
      </c>
      <c r="H1210" s="70" t="s">
        <v>542</v>
      </c>
      <c r="I1210" s="70" t="s">
        <v>543</v>
      </c>
      <c r="J1210" s="70" t="s">
        <v>1536</v>
      </c>
      <c r="K1210" s="70" t="s">
        <v>80</v>
      </c>
      <c r="L1210" s="70" t="s">
        <v>595</v>
      </c>
      <c r="M1210" s="12" t="s">
        <v>918</v>
      </c>
      <c r="N1210" s="26">
        <v>1</v>
      </c>
      <c r="O1210" s="57">
        <f>P1210/N1210</f>
        <v>41629</v>
      </c>
      <c r="P1210" s="62">
        <f>21429+20200</f>
        <v>41629</v>
      </c>
      <c r="Q1210" s="6" t="s">
        <v>397</v>
      </c>
      <c r="R1210" s="6" t="s">
        <v>770</v>
      </c>
      <c r="S1210" s="38" t="s">
        <v>2032</v>
      </c>
      <c r="T1210" s="6">
        <v>30</v>
      </c>
    </row>
    <row r="1211" spans="1:20" s="46" customFormat="1" ht="51">
      <c r="A1211" s="17"/>
      <c r="B1211" s="6">
        <v>1195</v>
      </c>
      <c r="C1211" s="16" t="s">
        <v>714</v>
      </c>
      <c r="D1211" s="6" t="s">
        <v>601</v>
      </c>
      <c r="E1211" s="6" t="s">
        <v>539</v>
      </c>
      <c r="F1211" s="70" t="s">
        <v>540</v>
      </c>
      <c r="G1211" s="70" t="s">
        <v>541</v>
      </c>
      <c r="H1211" s="70" t="s">
        <v>542</v>
      </c>
      <c r="I1211" s="70" t="s">
        <v>543</v>
      </c>
      <c r="J1211" s="70" t="s">
        <v>1536</v>
      </c>
      <c r="K1211" s="70" t="s">
        <v>80</v>
      </c>
      <c r="L1211" s="70" t="s">
        <v>595</v>
      </c>
      <c r="M1211" s="12" t="s">
        <v>918</v>
      </c>
      <c r="N1211" s="26">
        <v>1</v>
      </c>
      <c r="O1211" s="57">
        <v>71429</v>
      </c>
      <c r="P1211" s="62">
        <f t="shared" si="21"/>
        <v>71429</v>
      </c>
      <c r="Q1211" s="6" t="s">
        <v>397</v>
      </c>
      <c r="R1211" s="6" t="s">
        <v>770</v>
      </c>
      <c r="S1211" s="38">
        <v>351000000</v>
      </c>
      <c r="T1211" s="26">
        <v>100</v>
      </c>
    </row>
    <row r="1212" spans="1:20" ht="51">
      <c r="B1212" s="6">
        <v>1196</v>
      </c>
      <c r="C1212" s="16" t="s">
        <v>714</v>
      </c>
      <c r="D1212" s="6" t="s">
        <v>601</v>
      </c>
      <c r="E1212" s="6" t="s">
        <v>539</v>
      </c>
      <c r="F1212" s="70" t="s">
        <v>540</v>
      </c>
      <c r="G1212" s="70" t="s">
        <v>541</v>
      </c>
      <c r="H1212" s="70" t="s">
        <v>542</v>
      </c>
      <c r="I1212" s="70" t="s">
        <v>543</v>
      </c>
      <c r="J1212" s="70" t="s">
        <v>1536</v>
      </c>
      <c r="K1212" s="70" t="s">
        <v>80</v>
      </c>
      <c r="L1212" s="70" t="s">
        <v>595</v>
      </c>
      <c r="M1212" s="12" t="s">
        <v>918</v>
      </c>
      <c r="N1212" s="26">
        <v>1</v>
      </c>
      <c r="O1212" s="57">
        <v>89286</v>
      </c>
      <c r="P1212" s="62">
        <f t="shared" si="21"/>
        <v>89286</v>
      </c>
      <c r="Q1212" s="6" t="s">
        <v>397</v>
      </c>
      <c r="R1212" s="6" t="s">
        <v>770</v>
      </c>
      <c r="S1212" s="38" t="s">
        <v>929</v>
      </c>
      <c r="T1212" s="26">
        <v>0</v>
      </c>
    </row>
    <row r="1213" spans="1:20" s="46" customFormat="1" ht="51">
      <c r="A1213" s="17"/>
      <c r="B1213" s="6">
        <v>1197</v>
      </c>
      <c r="C1213" s="16" t="s">
        <v>714</v>
      </c>
      <c r="D1213" s="6" t="s">
        <v>601</v>
      </c>
      <c r="E1213" s="6" t="s">
        <v>539</v>
      </c>
      <c r="F1213" s="70" t="s">
        <v>540</v>
      </c>
      <c r="G1213" s="70" t="s">
        <v>541</v>
      </c>
      <c r="H1213" s="70" t="s">
        <v>542</v>
      </c>
      <c r="I1213" s="70" t="s">
        <v>543</v>
      </c>
      <c r="J1213" s="70" t="s">
        <v>1536</v>
      </c>
      <c r="K1213" s="70" t="s">
        <v>80</v>
      </c>
      <c r="L1213" s="70" t="s">
        <v>595</v>
      </c>
      <c r="M1213" s="12" t="s">
        <v>918</v>
      </c>
      <c r="N1213" s="26">
        <v>1</v>
      </c>
      <c r="O1213" s="57">
        <v>107143</v>
      </c>
      <c r="P1213" s="62">
        <f t="shared" si="21"/>
        <v>107143</v>
      </c>
      <c r="Q1213" s="6" t="s">
        <v>397</v>
      </c>
      <c r="R1213" s="6" t="s">
        <v>770</v>
      </c>
      <c r="S1213" s="38">
        <v>431000000</v>
      </c>
      <c r="T1213" s="26">
        <v>0</v>
      </c>
    </row>
    <row r="1214" spans="1:20" s="46" customFormat="1" ht="51">
      <c r="A1214" s="17"/>
      <c r="B1214" s="6">
        <v>1198</v>
      </c>
      <c r="C1214" s="36" t="s">
        <v>714</v>
      </c>
      <c r="D1214" s="43" t="s">
        <v>601</v>
      </c>
      <c r="E1214" s="6" t="s">
        <v>539</v>
      </c>
      <c r="F1214" s="70" t="s">
        <v>540</v>
      </c>
      <c r="G1214" s="70" t="s">
        <v>541</v>
      </c>
      <c r="H1214" s="70" t="s">
        <v>542</v>
      </c>
      <c r="I1214" s="70" t="s">
        <v>543</v>
      </c>
      <c r="J1214" s="70" t="s">
        <v>1536</v>
      </c>
      <c r="K1214" s="70" t="s">
        <v>80</v>
      </c>
      <c r="L1214" s="70" t="s">
        <v>595</v>
      </c>
      <c r="M1214" s="12" t="s">
        <v>918</v>
      </c>
      <c r="N1214" s="65">
        <v>1</v>
      </c>
      <c r="O1214" s="57">
        <v>53571</v>
      </c>
      <c r="P1214" s="62">
        <f t="shared" si="21"/>
        <v>53571</v>
      </c>
      <c r="Q1214" s="6" t="s">
        <v>397</v>
      </c>
      <c r="R1214" s="6" t="s">
        <v>770</v>
      </c>
      <c r="S1214" s="38" t="s">
        <v>719</v>
      </c>
      <c r="T1214" s="26">
        <v>100</v>
      </c>
    </row>
    <row r="1215" spans="1:20" s="39" customFormat="1" ht="57.75" customHeight="1">
      <c r="B1215" s="6">
        <v>1199</v>
      </c>
      <c r="C1215" s="16" t="s">
        <v>714</v>
      </c>
      <c r="D1215" s="6" t="s">
        <v>601</v>
      </c>
      <c r="E1215" s="6" t="s">
        <v>539</v>
      </c>
      <c r="F1215" s="70" t="s">
        <v>540</v>
      </c>
      <c r="G1215" s="70" t="s">
        <v>541</v>
      </c>
      <c r="H1215" s="70" t="s">
        <v>542</v>
      </c>
      <c r="I1215" s="70" t="s">
        <v>543</v>
      </c>
      <c r="J1215" s="70" t="s">
        <v>1536</v>
      </c>
      <c r="K1215" s="70" t="s">
        <v>80</v>
      </c>
      <c r="L1215" s="70" t="s">
        <v>595</v>
      </c>
      <c r="M1215" s="12" t="s">
        <v>918</v>
      </c>
      <c r="N1215" s="26">
        <v>1</v>
      </c>
      <c r="O1215" s="57">
        <v>32143</v>
      </c>
      <c r="P1215" s="62">
        <f t="shared" si="21"/>
        <v>32143</v>
      </c>
      <c r="Q1215" s="6" t="s">
        <v>397</v>
      </c>
      <c r="R1215" s="6" t="s">
        <v>398</v>
      </c>
      <c r="S1215" s="38">
        <v>551000000</v>
      </c>
      <c r="T1215" s="26">
        <v>100</v>
      </c>
    </row>
    <row r="1216" spans="1:20" s="46" customFormat="1" ht="51">
      <c r="A1216" s="17"/>
      <c r="B1216" s="6">
        <v>1200</v>
      </c>
      <c r="C1216" s="16" t="s">
        <v>945</v>
      </c>
      <c r="D1216" s="6" t="s">
        <v>601</v>
      </c>
      <c r="E1216" s="6" t="s">
        <v>539</v>
      </c>
      <c r="F1216" s="70" t="s">
        <v>540</v>
      </c>
      <c r="G1216" s="70" t="s">
        <v>541</v>
      </c>
      <c r="H1216" s="70" t="s">
        <v>542</v>
      </c>
      <c r="I1216" s="70" t="s">
        <v>543</v>
      </c>
      <c r="J1216" s="70" t="s">
        <v>1536</v>
      </c>
      <c r="K1216" s="70" t="s">
        <v>80</v>
      </c>
      <c r="L1216" s="70" t="s">
        <v>595</v>
      </c>
      <c r="M1216" s="12" t="s">
        <v>918</v>
      </c>
      <c r="N1216" s="26">
        <v>1</v>
      </c>
      <c r="O1216" s="57">
        <v>64200</v>
      </c>
      <c r="P1216" s="62">
        <f t="shared" si="21"/>
        <v>64200</v>
      </c>
      <c r="Q1216" s="6" t="s">
        <v>397</v>
      </c>
      <c r="R1216" s="6" t="s">
        <v>770</v>
      </c>
      <c r="S1216" s="38">
        <v>591000000</v>
      </c>
      <c r="T1216" s="26">
        <v>100</v>
      </c>
    </row>
    <row r="1217" spans="1:20" s="46" customFormat="1" ht="51">
      <c r="A1217" s="17"/>
      <c r="B1217" s="6">
        <v>1201</v>
      </c>
      <c r="C1217" s="16" t="s">
        <v>714</v>
      </c>
      <c r="D1217" s="6" t="s">
        <v>601</v>
      </c>
      <c r="E1217" s="6" t="s">
        <v>539</v>
      </c>
      <c r="F1217" s="70" t="s">
        <v>540</v>
      </c>
      <c r="G1217" s="70" t="s">
        <v>541</v>
      </c>
      <c r="H1217" s="70" t="s">
        <v>542</v>
      </c>
      <c r="I1217" s="70" t="s">
        <v>543</v>
      </c>
      <c r="J1217" s="70" t="s">
        <v>1536</v>
      </c>
      <c r="K1217" s="70" t="s">
        <v>80</v>
      </c>
      <c r="L1217" s="70" t="s">
        <v>595</v>
      </c>
      <c r="M1217" s="12" t="s">
        <v>918</v>
      </c>
      <c r="N1217" s="26">
        <v>1</v>
      </c>
      <c r="O1217" s="57">
        <v>89286</v>
      </c>
      <c r="P1217" s="62">
        <f t="shared" ref="P1217:P1280" si="22">N1217*O1217</f>
        <v>89286</v>
      </c>
      <c r="Q1217" s="6" t="s">
        <v>397</v>
      </c>
      <c r="R1217" s="6" t="s">
        <v>770</v>
      </c>
      <c r="S1217" s="38" t="s">
        <v>2037</v>
      </c>
      <c r="T1217" s="6">
        <v>100</v>
      </c>
    </row>
    <row r="1218" spans="1:20" s="46" customFormat="1" ht="51">
      <c r="A1218" s="17"/>
      <c r="B1218" s="6">
        <v>1202</v>
      </c>
      <c r="C1218" s="16" t="s">
        <v>714</v>
      </c>
      <c r="D1218" s="6" t="s">
        <v>601</v>
      </c>
      <c r="E1218" s="12" t="s">
        <v>544</v>
      </c>
      <c r="F1218" s="70" t="s">
        <v>2317</v>
      </c>
      <c r="G1218" s="70" t="s">
        <v>545</v>
      </c>
      <c r="H1218" s="70" t="s">
        <v>2317</v>
      </c>
      <c r="I1218" s="70" t="s">
        <v>545</v>
      </c>
      <c r="J1218" s="70" t="s">
        <v>1848</v>
      </c>
      <c r="K1218" s="70" t="s">
        <v>54</v>
      </c>
      <c r="L1218" s="70" t="s">
        <v>1490</v>
      </c>
      <c r="M1218" s="12" t="s">
        <v>918</v>
      </c>
      <c r="N1218" s="26">
        <v>1</v>
      </c>
      <c r="O1218" s="57">
        <f>P1218/N1218</f>
        <v>10335226.140000001</v>
      </c>
      <c r="P1218" s="62">
        <f>10565657-168288-977007-522993+1437857.14</f>
        <v>10335226.140000001</v>
      </c>
      <c r="Q1218" s="6" t="s">
        <v>397</v>
      </c>
      <c r="R1218" s="6" t="s">
        <v>770</v>
      </c>
      <c r="S1218" s="38" t="s">
        <v>1179</v>
      </c>
      <c r="T1218" s="26">
        <v>0</v>
      </c>
    </row>
    <row r="1219" spans="1:20" s="46" customFormat="1" ht="51">
      <c r="A1219" s="17"/>
      <c r="B1219" s="6">
        <v>1203</v>
      </c>
      <c r="C1219" s="36" t="s">
        <v>714</v>
      </c>
      <c r="D1219" s="43" t="s">
        <v>601</v>
      </c>
      <c r="E1219" s="12" t="s">
        <v>544</v>
      </c>
      <c r="F1219" s="70" t="s">
        <v>2317</v>
      </c>
      <c r="G1219" s="70" t="s">
        <v>545</v>
      </c>
      <c r="H1219" s="70" t="s">
        <v>2317</v>
      </c>
      <c r="I1219" s="70" t="s">
        <v>545</v>
      </c>
      <c r="J1219" s="70" t="s">
        <v>2316</v>
      </c>
      <c r="K1219" s="70" t="s">
        <v>264</v>
      </c>
      <c r="L1219" s="70" t="s">
        <v>595</v>
      </c>
      <c r="M1219" s="12" t="s">
        <v>918</v>
      </c>
      <c r="N1219" s="26">
        <v>1</v>
      </c>
      <c r="O1219" s="57">
        <v>3055232</v>
      </c>
      <c r="P1219" s="62">
        <f t="shared" si="22"/>
        <v>3055232</v>
      </c>
      <c r="Q1219" s="6" t="s">
        <v>397</v>
      </c>
      <c r="R1219" s="6" t="s">
        <v>770</v>
      </c>
      <c r="S1219" s="38" t="s">
        <v>2038</v>
      </c>
      <c r="T1219" s="26">
        <v>0</v>
      </c>
    </row>
    <row r="1220" spans="1:20" s="46" customFormat="1" ht="51">
      <c r="A1220" s="17"/>
      <c r="B1220" s="6">
        <v>1204</v>
      </c>
      <c r="C1220" s="16" t="s">
        <v>714</v>
      </c>
      <c r="D1220" s="6" t="s">
        <v>601</v>
      </c>
      <c r="E1220" s="12" t="s">
        <v>544</v>
      </c>
      <c r="F1220" s="70" t="s">
        <v>2317</v>
      </c>
      <c r="G1220" s="70" t="s">
        <v>545</v>
      </c>
      <c r="H1220" s="70" t="s">
        <v>2317</v>
      </c>
      <c r="I1220" s="70" t="s">
        <v>545</v>
      </c>
      <c r="J1220" s="70" t="s">
        <v>2316</v>
      </c>
      <c r="K1220" s="70" t="s">
        <v>264</v>
      </c>
      <c r="L1220" s="70" t="s">
        <v>595</v>
      </c>
      <c r="M1220" s="12" t="s">
        <v>918</v>
      </c>
      <c r="N1220" s="26">
        <v>1</v>
      </c>
      <c r="O1220" s="57">
        <v>3125000</v>
      </c>
      <c r="P1220" s="62">
        <f t="shared" si="22"/>
        <v>3125000</v>
      </c>
      <c r="Q1220" s="6" t="s">
        <v>397</v>
      </c>
      <c r="R1220" s="6" t="s">
        <v>770</v>
      </c>
      <c r="S1220" s="38" t="s">
        <v>1025</v>
      </c>
      <c r="T1220" s="6">
        <v>0</v>
      </c>
    </row>
    <row r="1221" spans="1:20" s="46" customFormat="1" ht="51">
      <c r="A1221" s="17"/>
      <c r="B1221" s="6">
        <v>1205</v>
      </c>
      <c r="C1221" s="16" t="s">
        <v>714</v>
      </c>
      <c r="D1221" s="6" t="s">
        <v>601</v>
      </c>
      <c r="E1221" s="6" t="s">
        <v>974</v>
      </c>
      <c r="F1221" s="70" t="s">
        <v>975</v>
      </c>
      <c r="G1221" s="70" t="s">
        <v>976</v>
      </c>
      <c r="H1221" s="70" t="s">
        <v>975</v>
      </c>
      <c r="I1221" s="70" t="s">
        <v>977</v>
      </c>
      <c r="J1221" s="70" t="s">
        <v>975</v>
      </c>
      <c r="K1221" s="70" t="s">
        <v>977</v>
      </c>
      <c r="L1221" s="70" t="s">
        <v>595</v>
      </c>
      <c r="M1221" s="12" t="s">
        <v>918</v>
      </c>
      <c r="N1221" s="26">
        <v>1</v>
      </c>
      <c r="O1221" s="57">
        <f>P1221</f>
        <v>1328100</v>
      </c>
      <c r="P1221" s="62">
        <f>965000+363100</f>
        <v>1328100</v>
      </c>
      <c r="Q1221" s="6" t="s">
        <v>397</v>
      </c>
      <c r="R1221" s="6" t="s">
        <v>770</v>
      </c>
      <c r="S1221" s="38" t="s">
        <v>793</v>
      </c>
      <c r="T1221" s="6">
        <v>0</v>
      </c>
    </row>
    <row r="1222" spans="1:20" s="46" customFormat="1" ht="51">
      <c r="A1222" s="17"/>
      <c r="B1222" s="6">
        <v>1206</v>
      </c>
      <c r="C1222" s="16" t="s">
        <v>714</v>
      </c>
      <c r="D1222" s="6" t="s">
        <v>601</v>
      </c>
      <c r="E1222" s="12" t="s">
        <v>544</v>
      </c>
      <c r="F1222" s="70" t="s">
        <v>2317</v>
      </c>
      <c r="G1222" s="70" t="s">
        <v>545</v>
      </c>
      <c r="H1222" s="70" t="s">
        <v>2317</v>
      </c>
      <c r="I1222" s="70" t="s">
        <v>545</v>
      </c>
      <c r="J1222" s="70" t="s">
        <v>2316</v>
      </c>
      <c r="K1222" s="70" t="s">
        <v>264</v>
      </c>
      <c r="L1222" s="70" t="s">
        <v>595</v>
      </c>
      <c r="M1222" s="12" t="s">
        <v>918</v>
      </c>
      <c r="N1222" s="26">
        <v>1</v>
      </c>
      <c r="O1222" s="57">
        <v>1399286</v>
      </c>
      <c r="P1222" s="62">
        <f t="shared" si="22"/>
        <v>1399286</v>
      </c>
      <c r="Q1222" s="6" t="s">
        <v>395</v>
      </c>
      <c r="R1222" s="6" t="s">
        <v>770</v>
      </c>
      <c r="S1222" s="38" t="s">
        <v>2030</v>
      </c>
      <c r="T1222" s="6">
        <v>0</v>
      </c>
    </row>
    <row r="1223" spans="1:20" s="14" customFormat="1" ht="51">
      <c r="A1223" s="17"/>
      <c r="B1223" s="6">
        <v>1207</v>
      </c>
      <c r="C1223" s="16" t="s">
        <v>714</v>
      </c>
      <c r="D1223" s="6" t="s">
        <v>601</v>
      </c>
      <c r="E1223" s="12" t="s">
        <v>544</v>
      </c>
      <c r="F1223" s="70" t="s">
        <v>2317</v>
      </c>
      <c r="G1223" s="70" t="s">
        <v>545</v>
      </c>
      <c r="H1223" s="70" t="s">
        <v>2317</v>
      </c>
      <c r="I1223" s="70" t="s">
        <v>545</v>
      </c>
      <c r="J1223" s="70" t="s">
        <v>2316</v>
      </c>
      <c r="K1223" s="70" t="s">
        <v>264</v>
      </c>
      <c r="L1223" s="70" t="s">
        <v>595</v>
      </c>
      <c r="M1223" s="12" t="s">
        <v>918</v>
      </c>
      <c r="N1223" s="26">
        <v>1</v>
      </c>
      <c r="O1223" s="57">
        <v>3107143</v>
      </c>
      <c r="P1223" s="62">
        <f t="shared" si="22"/>
        <v>3107143</v>
      </c>
      <c r="Q1223" s="6" t="s">
        <v>397</v>
      </c>
      <c r="R1223" s="6" t="s">
        <v>770</v>
      </c>
      <c r="S1223" s="38" t="s">
        <v>2031</v>
      </c>
      <c r="T1223" s="26">
        <v>0</v>
      </c>
    </row>
    <row r="1224" spans="1:20" ht="51">
      <c r="B1224" s="6">
        <v>1208</v>
      </c>
      <c r="C1224" s="16" t="s">
        <v>714</v>
      </c>
      <c r="D1224" s="6" t="s">
        <v>601</v>
      </c>
      <c r="E1224" s="12" t="s">
        <v>544</v>
      </c>
      <c r="F1224" s="70" t="s">
        <v>2317</v>
      </c>
      <c r="G1224" s="70" t="s">
        <v>545</v>
      </c>
      <c r="H1224" s="84" t="s">
        <v>2317</v>
      </c>
      <c r="I1224" s="70" t="s">
        <v>545</v>
      </c>
      <c r="J1224" s="70" t="s">
        <v>2316</v>
      </c>
      <c r="K1224" s="70" t="s">
        <v>264</v>
      </c>
      <c r="L1224" s="70" t="s">
        <v>595</v>
      </c>
      <c r="M1224" s="12" t="s">
        <v>918</v>
      </c>
      <c r="N1224" s="26">
        <v>1</v>
      </c>
      <c r="O1224" s="57">
        <v>2882400</v>
      </c>
      <c r="P1224" s="62">
        <f t="shared" si="22"/>
        <v>2882400</v>
      </c>
      <c r="Q1224" s="6" t="s">
        <v>397</v>
      </c>
      <c r="R1224" s="6" t="s">
        <v>770</v>
      </c>
      <c r="S1224" s="38" t="s">
        <v>637</v>
      </c>
      <c r="T1224" s="6">
        <v>0</v>
      </c>
    </row>
    <row r="1225" spans="1:20" s="42" customFormat="1" ht="51">
      <c r="A1225" s="17"/>
      <c r="B1225" s="6">
        <v>1209</v>
      </c>
      <c r="C1225" s="16" t="s">
        <v>714</v>
      </c>
      <c r="D1225" s="6" t="s">
        <v>601</v>
      </c>
      <c r="E1225" s="12" t="s">
        <v>544</v>
      </c>
      <c r="F1225" s="70" t="s">
        <v>2317</v>
      </c>
      <c r="G1225" s="70" t="s">
        <v>545</v>
      </c>
      <c r="H1225" s="70" t="s">
        <v>2317</v>
      </c>
      <c r="I1225" s="70" t="s">
        <v>545</v>
      </c>
      <c r="J1225" s="70" t="s">
        <v>2316</v>
      </c>
      <c r="K1225" s="70" t="s">
        <v>264</v>
      </c>
      <c r="L1225" s="70" t="s">
        <v>1489</v>
      </c>
      <c r="M1225" s="12" t="s">
        <v>918</v>
      </c>
      <c r="N1225" s="26">
        <v>1</v>
      </c>
      <c r="O1225" s="57">
        <v>3456000</v>
      </c>
      <c r="P1225" s="62">
        <f t="shared" si="22"/>
        <v>3456000</v>
      </c>
      <c r="Q1225" s="6" t="s">
        <v>397</v>
      </c>
      <c r="R1225" s="6" t="s">
        <v>770</v>
      </c>
      <c r="S1225" s="38">
        <v>311000000</v>
      </c>
      <c r="T1225" s="26">
        <v>0</v>
      </c>
    </row>
    <row r="1226" spans="1:20" s="46" customFormat="1" ht="51">
      <c r="A1226" s="17"/>
      <c r="B1226" s="6">
        <v>1210</v>
      </c>
      <c r="C1226" s="16" t="s">
        <v>714</v>
      </c>
      <c r="D1226" s="6" t="s">
        <v>601</v>
      </c>
      <c r="E1226" s="12" t="s">
        <v>544</v>
      </c>
      <c r="F1226" s="70" t="s">
        <v>2317</v>
      </c>
      <c r="G1226" s="70" t="s">
        <v>545</v>
      </c>
      <c r="H1226" s="70" t="s">
        <v>2317</v>
      </c>
      <c r="I1226" s="70" t="s">
        <v>545</v>
      </c>
      <c r="J1226" s="70" t="s">
        <v>2316</v>
      </c>
      <c r="K1226" s="70" t="s">
        <v>264</v>
      </c>
      <c r="L1226" s="70" t="s">
        <v>1489</v>
      </c>
      <c r="M1226" s="12" t="s">
        <v>918</v>
      </c>
      <c r="N1226" s="26">
        <v>1</v>
      </c>
      <c r="O1226" s="57">
        <f>P1226/N1226</f>
        <v>3104764</v>
      </c>
      <c r="P1226" s="62">
        <f>3479464-20200-354500</f>
        <v>3104764</v>
      </c>
      <c r="Q1226" s="6" t="s">
        <v>397</v>
      </c>
      <c r="R1226" s="6" t="s">
        <v>770</v>
      </c>
      <c r="S1226" s="38">
        <v>431000000</v>
      </c>
      <c r="T1226" s="26">
        <v>0</v>
      </c>
    </row>
    <row r="1227" spans="1:20" s="39" customFormat="1" ht="60" customHeight="1">
      <c r="B1227" s="6">
        <v>1211</v>
      </c>
      <c r="C1227" s="16" t="s">
        <v>714</v>
      </c>
      <c r="D1227" s="6" t="s">
        <v>601</v>
      </c>
      <c r="E1227" s="12" t="s">
        <v>544</v>
      </c>
      <c r="F1227" s="70" t="s">
        <v>2317</v>
      </c>
      <c r="G1227" s="70" t="s">
        <v>545</v>
      </c>
      <c r="H1227" s="70" t="s">
        <v>2317</v>
      </c>
      <c r="I1227" s="70" t="s">
        <v>545</v>
      </c>
      <c r="J1227" s="70" t="s">
        <v>2316</v>
      </c>
      <c r="K1227" s="70" t="s">
        <v>264</v>
      </c>
      <c r="L1227" s="70" t="s">
        <v>595</v>
      </c>
      <c r="M1227" s="12" t="s">
        <v>918</v>
      </c>
      <c r="N1227" s="26">
        <v>1</v>
      </c>
      <c r="O1227" s="57">
        <v>3024000</v>
      </c>
      <c r="P1227" s="62">
        <f t="shared" si="22"/>
        <v>3024000</v>
      </c>
      <c r="Q1227" s="6" t="s">
        <v>397</v>
      </c>
      <c r="R1227" s="6" t="s">
        <v>770</v>
      </c>
      <c r="S1227" s="38">
        <v>551000000</v>
      </c>
      <c r="T1227" s="26">
        <v>0</v>
      </c>
    </row>
    <row r="1228" spans="1:20" s="46" customFormat="1" ht="51">
      <c r="A1228" s="17"/>
      <c r="B1228" s="6">
        <v>1212</v>
      </c>
      <c r="C1228" s="16" t="s">
        <v>945</v>
      </c>
      <c r="D1228" s="6" t="s">
        <v>601</v>
      </c>
      <c r="E1228" s="12" t="s">
        <v>544</v>
      </c>
      <c r="F1228" s="70" t="s">
        <v>2317</v>
      </c>
      <c r="G1228" s="70" t="s">
        <v>545</v>
      </c>
      <c r="H1228" s="70" t="s">
        <v>2317</v>
      </c>
      <c r="I1228" s="70" t="s">
        <v>545</v>
      </c>
      <c r="J1228" s="70" t="s">
        <v>2316</v>
      </c>
      <c r="K1228" s="70" t="s">
        <v>264</v>
      </c>
      <c r="L1228" s="70" t="s">
        <v>595</v>
      </c>
      <c r="M1228" s="12" t="s">
        <v>918</v>
      </c>
      <c r="N1228" s="7">
        <v>1</v>
      </c>
      <c r="O1228" s="57">
        <v>1209600</v>
      </c>
      <c r="P1228" s="62">
        <f t="shared" si="22"/>
        <v>1209600</v>
      </c>
      <c r="Q1228" s="6" t="s">
        <v>397</v>
      </c>
      <c r="R1228" s="6" t="s">
        <v>770</v>
      </c>
      <c r="S1228" s="38">
        <v>591000000</v>
      </c>
      <c r="T1228" s="26">
        <v>0</v>
      </c>
    </row>
    <row r="1229" spans="1:20" s="46" customFormat="1" ht="51">
      <c r="A1229" s="17"/>
      <c r="B1229" s="6">
        <v>1213</v>
      </c>
      <c r="C1229" s="16" t="s">
        <v>714</v>
      </c>
      <c r="D1229" s="6" t="s">
        <v>601</v>
      </c>
      <c r="E1229" s="12" t="s">
        <v>544</v>
      </c>
      <c r="F1229" s="70" t="s">
        <v>2317</v>
      </c>
      <c r="G1229" s="70" t="s">
        <v>545</v>
      </c>
      <c r="H1229" s="70" t="s">
        <v>2317</v>
      </c>
      <c r="I1229" s="70" t="s">
        <v>545</v>
      </c>
      <c r="J1229" s="70" t="s">
        <v>2316</v>
      </c>
      <c r="K1229" s="70" t="s">
        <v>264</v>
      </c>
      <c r="L1229" s="70" t="s">
        <v>595</v>
      </c>
      <c r="M1229" s="12" t="s">
        <v>918</v>
      </c>
      <c r="N1229" s="26">
        <v>1</v>
      </c>
      <c r="O1229" s="57">
        <v>1821429</v>
      </c>
      <c r="P1229" s="62">
        <f t="shared" si="22"/>
        <v>1821429</v>
      </c>
      <c r="Q1229" s="6" t="s">
        <v>397</v>
      </c>
      <c r="R1229" s="6" t="s">
        <v>770</v>
      </c>
      <c r="S1229" s="38" t="s">
        <v>2037</v>
      </c>
      <c r="T1229" s="6">
        <v>0</v>
      </c>
    </row>
    <row r="1230" spans="1:20" ht="51">
      <c r="B1230" s="6">
        <v>1214</v>
      </c>
      <c r="C1230" s="16" t="s">
        <v>714</v>
      </c>
      <c r="D1230" s="6" t="s">
        <v>601</v>
      </c>
      <c r="E1230" s="12" t="s">
        <v>544</v>
      </c>
      <c r="F1230" s="70" t="s">
        <v>2317</v>
      </c>
      <c r="G1230" s="70" t="s">
        <v>545</v>
      </c>
      <c r="H1230" s="70" t="s">
        <v>2317</v>
      </c>
      <c r="I1230" s="70" t="s">
        <v>545</v>
      </c>
      <c r="J1230" s="70" t="s">
        <v>2316</v>
      </c>
      <c r="K1230" s="70" t="s">
        <v>264</v>
      </c>
      <c r="L1230" s="70" t="s">
        <v>595</v>
      </c>
      <c r="M1230" s="12" t="s">
        <v>918</v>
      </c>
      <c r="N1230" s="26">
        <v>1</v>
      </c>
      <c r="O1230" s="57">
        <v>2764800</v>
      </c>
      <c r="P1230" s="62">
        <f t="shared" si="22"/>
        <v>2764800</v>
      </c>
      <c r="Q1230" s="6" t="s">
        <v>397</v>
      </c>
      <c r="R1230" s="6" t="s">
        <v>770</v>
      </c>
      <c r="S1230" s="38" t="s">
        <v>698</v>
      </c>
      <c r="T1230" s="26">
        <v>0</v>
      </c>
    </row>
    <row r="1231" spans="1:20" s="46" customFormat="1" ht="51">
      <c r="A1231" s="17"/>
      <c r="B1231" s="6">
        <v>1215</v>
      </c>
      <c r="C1231" s="16" t="s">
        <v>714</v>
      </c>
      <c r="D1231" s="6" t="s">
        <v>601</v>
      </c>
      <c r="E1231" s="6" t="s">
        <v>544</v>
      </c>
      <c r="F1231" s="70" t="s">
        <v>2274</v>
      </c>
      <c r="G1231" s="70" t="s">
        <v>545</v>
      </c>
      <c r="H1231" s="70" t="s">
        <v>2274</v>
      </c>
      <c r="I1231" s="70" t="s">
        <v>545</v>
      </c>
      <c r="J1231" s="70" t="s">
        <v>2275</v>
      </c>
      <c r="K1231" s="70" t="s">
        <v>55</v>
      </c>
      <c r="L1231" s="70" t="s">
        <v>595</v>
      </c>
      <c r="M1231" s="12" t="s">
        <v>918</v>
      </c>
      <c r="N1231" s="26">
        <v>1</v>
      </c>
      <c r="O1231" s="57">
        <v>1285714</v>
      </c>
      <c r="P1231" s="62">
        <f t="shared" si="22"/>
        <v>1285714</v>
      </c>
      <c r="Q1231" s="6" t="s">
        <v>397</v>
      </c>
      <c r="R1231" s="6" t="s">
        <v>770</v>
      </c>
      <c r="S1231" s="38" t="s">
        <v>2036</v>
      </c>
      <c r="T1231" s="6">
        <v>0</v>
      </c>
    </row>
    <row r="1232" spans="1:20" ht="51">
      <c r="B1232" s="6">
        <v>1216</v>
      </c>
      <c r="C1232" s="16" t="s">
        <v>714</v>
      </c>
      <c r="D1232" s="6" t="s">
        <v>601</v>
      </c>
      <c r="E1232" s="6" t="s">
        <v>946</v>
      </c>
      <c r="F1232" s="70" t="s">
        <v>1159</v>
      </c>
      <c r="G1232" s="70" t="s">
        <v>947</v>
      </c>
      <c r="H1232" s="70" t="s">
        <v>1159</v>
      </c>
      <c r="I1232" s="70" t="s">
        <v>947</v>
      </c>
      <c r="J1232" s="70" t="s">
        <v>1849</v>
      </c>
      <c r="K1232" s="70" t="s">
        <v>50</v>
      </c>
      <c r="L1232" s="70" t="s">
        <v>1490</v>
      </c>
      <c r="M1232" s="12" t="s">
        <v>918</v>
      </c>
      <c r="N1232" s="26">
        <v>1</v>
      </c>
      <c r="O1232" s="57">
        <v>13392857</v>
      </c>
      <c r="P1232" s="62">
        <f t="shared" si="22"/>
        <v>13392857</v>
      </c>
      <c r="Q1232" s="6" t="s">
        <v>702</v>
      </c>
      <c r="R1232" s="6" t="s">
        <v>770</v>
      </c>
      <c r="S1232" s="38" t="s">
        <v>1179</v>
      </c>
      <c r="T1232" s="26">
        <v>0</v>
      </c>
    </row>
    <row r="1233" spans="1:20" s="46" customFormat="1" ht="102">
      <c r="A1233" s="17"/>
      <c r="B1233" s="6">
        <v>1217</v>
      </c>
      <c r="C1233" s="16" t="s">
        <v>714</v>
      </c>
      <c r="D1233" s="6" t="s">
        <v>601</v>
      </c>
      <c r="E1233" s="6" t="s">
        <v>1373</v>
      </c>
      <c r="F1233" s="70" t="s">
        <v>1985</v>
      </c>
      <c r="G1233" s="70" t="s">
        <v>1374</v>
      </c>
      <c r="H1233" s="70" t="s">
        <v>1986</v>
      </c>
      <c r="I1233" s="70" t="s">
        <v>1375</v>
      </c>
      <c r="J1233" s="70" t="s">
        <v>2318</v>
      </c>
      <c r="K1233" s="70" t="s">
        <v>92</v>
      </c>
      <c r="L1233" s="70" t="s">
        <v>595</v>
      </c>
      <c r="M1233" s="12" t="s">
        <v>918</v>
      </c>
      <c r="N1233" s="26">
        <v>1</v>
      </c>
      <c r="O1233" s="57">
        <v>2232143</v>
      </c>
      <c r="P1233" s="62">
        <f t="shared" si="22"/>
        <v>2232143</v>
      </c>
      <c r="Q1233" s="6" t="s">
        <v>510</v>
      </c>
      <c r="R1233" s="6" t="s">
        <v>770</v>
      </c>
      <c r="S1233" s="38" t="s">
        <v>2030</v>
      </c>
      <c r="T1233" s="26">
        <v>50</v>
      </c>
    </row>
    <row r="1234" spans="1:20" ht="63.75">
      <c r="B1234" s="6">
        <v>1218</v>
      </c>
      <c r="C1234" s="16" t="s">
        <v>714</v>
      </c>
      <c r="D1234" s="6" t="s">
        <v>601</v>
      </c>
      <c r="E1234" s="12" t="s">
        <v>1257</v>
      </c>
      <c r="F1234" s="70" t="s">
        <v>1850</v>
      </c>
      <c r="G1234" s="70" t="s">
        <v>1258</v>
      </c>
      <c r="H1234" s="70" t="s">
        <v>1851</v>
      </c>
      <c r="I1234" s="70" t="s">
        <v>1259</v>
      </c>
      <c r="J1234" s="70" t="s">
        <v>1852</v>
      </c>
      <c r="K1234" s="70" t="s">
        <v>265</v>
      </c>
      <c r="L1234" s="70" t="s">
        <v>595</v>
      </c>
      <c r="M1234" s="12" t="s">
        <v>918</v>
      </c>
      <c r="N1234" s="10">
        <v>1</v>
      </c>
      <c r="O1234" s="57">
        <v>4475304</v>
      </c>
      <c r="P1234" s="62">
        <f t="shared" si="22"/>
        <v>4475304</v>
      </c>
      <c r="Q1234" s="6" t="s">
        <v>397</v>
      </c>
      <c r="R1234" s="6" t="s">
        <v>770</v>
      </c>
      <c r="S1234" s="38" t="s">
        <v>1179</v>
      </c>
      <c r="T1234" s="15">
        <v>0</v>
      </c>
    </row>
    <row r="1235" spans="1:20" ht="63.75" outlineLevel="1">
      <c r="B1235" s="6">
        <v>1219</v>
      </c>
      <c r="C1235" s="16" t="s">
        <v>714</v>
      </c>
      <c r="D1235" s="6" t="s">
        <v>601</v>
      </c>
      <c r="E1235" s="12" t="s">
        <v>1257</v>
      </c>
      <c r="F1235" s="70" t="s">
        <v>1850</v>
      </c>
      <c r="G1235" s="70" t="s">
        <v>1258</v>
      </c>
      <c r="H1235" s="70" t="s">
        <v>1851</v>
      </c>
      <c r="I1235" s="70" t="s">
        <v>1259</v>
      </c>
      <c r="J1235" s="70" t="s">
        <v>1853</v>
      </c>
      <c r="K1235" s="70" t="s">
        <v>266</v>
      </c>
      <c r="L1235" s="70" t="s">
        <v>595</v>
      </c>
      <c r="M1235" s="12" t="s">
        <v>918</v>
      </c>
      <c r="N1235" s="10">
        <v>1</v>
      </c>
      <c r="O1235" s="57">
        <v>2406924</v>
      </c>
      <c r="P1235" s="62">
        <f t="shared" si="22"/>
        <v>2406924</v>
      </c>
      <c r="Q1235" s="6" t="s">
        <v>397</v>
      </c>
      <c r="R1235" s="6" t="s">
        <v>770</v>
      </c>
      <c r="S1235" s="38" t="s">
        <v>1179</v>
      </c>
      <c r="T1235" s="15">
        <v>0</v>
      </c>
    </row>
    <row r="1236" spans="1:20" ht="63.75" outlineLevel="1">
      <c r="B1236" s="6">
        <v>1220</v>
      </c>
      <c r="C1236" s="16" t="s">
        <v>714</v>
      </c>
      <c r="D1236" s="6" t="s">
        <v>601</v>
      </c>
      <c r="E1236" s="12" t="s">
        <v>1257</v>
      </c>
      <c r="F1236" s="70" t="s">
        <v>1850</v>
      </c>
      <c r="G1236" s="70" t="s">
        <v>1258</v>
      </c>
      <c r="H1236" s="70" t="s">
        <v>1851</v>
      </c>
      <c r="I1236" s="70" t="s">
        <v>1259</v>
      </c>
      <c r="J1236" s="70" t="s">
        <v>1854</v>
      </c>
      <c r="K1236" s="70" t="s">
        <v>267</v>
      </c>
      <c r="L1236" s="70" t="s">
        <v>595</v>
      </c>
      <c r="M1236" s="12" t="s">
        <v>918</v>
      </c>
      <c r="N1236" s="10">
        <v>1</v>
      </c>
      <c r="O1236" s="57">
        <v>11049279</v>
      </c>
      <c r="P1236" s="62">
        <f t="shared" si="22"/>
        <v>11049279</v>
      </c>
      <c r="Q1236" s="6" t="s">
        <v>397</v>
      </c>
      <c r="R1236" s="6" t="s">
        <v>770</v>
      </c>
      <c r="S1236" s="38" t="s">
        <v>1179</v>
      </c>
      <c r="T1236" s="15">
        <v>0</v>
      </c>
    </row>
    <row r="1237" spans="1:20" ht="76.5" outlineLevel="1">
      <c r="B1237" s="6">
        <v>1221</v>
      </c>
      <c r="C1237" s="16" t="s">
        <v>714</v>
      </c>
      <c r="D1237" s="6" t="s">
        <v>601</v>
      </c>
      <c r="E1237" s="12" t="s">
        <v>1260</v>
      </c>
      <c r="F1237" s="70" t="s">
        <v>1855</v>
      </c>
      <c r="G1237" s="70" t="s">
        <v>1261</v>
      </c>
      <c r="H1237" s="70" t="s">
        <v>1856</v>
      </c>
      <c r="I1237" s="70" t="s">
        <v>1262</v>
      </c>
      <c r="J1237" s="70" t="s">
        <v>1857</v>
      </c>
      <c r="K1237" s="70" t="s">
        <v>268</v>
      </c>
      <c r="L1237" s="70" t="s">
        <v>595</v>
      </c>
      <c r="M1237" s="12" t="s">
        <v>918</v>
      </c>
      <c r="N1237" s="10">
        <v>1</v>
      </c>
      <c r="O1237" s="57">
        <v>9613212</v>
      </c>
      <c r="P1237" s="62">
        <f t="shared" si="22"/>
        <v>9613212</v>
      </c>
      <c r="Q1237" s="6" t="s">
        <v>397</v>
      </c>
      <c r="R1237" s="6" t="s">
        <v>770</v>
      </c>
      <c r="S1237" s="38" t="s">
        <v>1179</v>
      </c>
      <c r="T1237" s="15">
        <v>0</v>
      </c>
    </row>
    <row r="1238" spans="1:20" ht="76.5" outlineLevel="1">
      <c r="B1238" s="6">
        <v>1222</v>
      </c>
      <c r="C1238" s="16" t="s">
        <v>714</v>
      </c>
      <c r="D1238" s="6" t="s">
        <v>601</v>
      </c>
      <c r="E1238" s="12" t="s">
        <v>1260</v>
      </c>
      <c r="F1238" s="70" t="s">
        <v>1855</v>
      </c>
      <c r="G1238" s="70" t="s">
        <v>1261</v>
      </c>
      <c r="H1238" s="70" t="s">
        <v>1856</v>
      </c>
      <c r="I1238" s="70" t="s">
        <v>1262</v>
      </c>
      <c r="J1238" s="70" t="s">
        <v>1858</v>
      </c>
      <c r="K1238" s="70" t="s">
        <v>269</v>
      </c>
      <c r="L1238" s="70" t="s">
        <v>595</v>
      </c>
      <c r="M1238" s="12" t="s">
        <v>918</v>
      </c>
      <c r="N1238" s="10">
        <v>1</v>
      </c>
      <c r="O1238" s="57">
        <f>P1238</f>
        <v>14108160</v>
      </c>
      <c r="P1238" s="62">
        <f>14242446-134286</f>
        <v>14108160</v>
      </c>
      <c r="Q1238" s="6" t="s">
        <v>397</v>
      </c>
      <c r="R1238" s="6" t="s">
        <v>770</v>
      </c>
      <c r="S1238" s="38" t="s">
        <v>1179</v>
      </c>
      <c r="T1238" s="15">
        <v>0</v>
      </c>
    </row>
    <row r="1239" spans="1:20" ht="63.75" outlineLevel="1">
      <c r="B1239" s="6">
        <v>1223</v>
      </c>
      <c r="C1239" s="16" t="s">
        <v>714</v>
      </c>
      <c r="D1239" s="6" t="s">
        <v>601</v>
      </c>
      <c r="E1239" s="12" t="s">
        <v>546</v>
      </c>
      <c r="F1239" s="70" t="s">
        <v>1859</v>
      </c>
      <c r="G1239" s="70" t="s">
        <v>708</v>
      </c>
      <c r="H1239" s="70" t="s">
        <v>1860</v>
      </c>
      <c r="I1239" s="70" t="s">
        <v>547</v>
      </c>
      <c r="J1239" s="70" t="s">
        <v>1861</v>
      </c>
      <c r="K1239" s="70" t="s">
        <v>270</v>
      </c>
      <c r="L1239" s="70" t="s">
        <v>595</v>
      </c>
      <c r="M1239" s="12" t="s">
        <v>918</v>
      </c>
      <c r="N1239" s="10">
        <v>1</v>
      </c>
      <c r="O1239" s="57">
        <f>P1239</f>
        <v>2729919.4</v>
      </c>
      <c r="P1239" s="62">
        <f>3892849-1162929.6</f>
        <v>2729919.4</v>
      </c>
      <c r="Q1239" s="6" t="s">
        <v>397</v>
      </c>
      <c r="R1239" s="6" t="s">
        <v>770</v>
      </c>
      <c r="S1239" s="38" t="s">
        <v>1179</v>
      </c>
      <c r="T1239" s="15">
        <v>0</v>
      </c>
    </row>
    <row r="1240" spans="1:20" ht="63.75" outlineLevel="1">
      <c r="B1240" s="6">
        <v>1224</v>
      </c>
      <c r="C1240" s="16" t="s">
        <v>714</v>
      </c>
      <c r="D1240" s="6" t="s">
        <v>601</v>
      </c>
      <c r="E1240" s="12" t="s">
        <v>546</v>
      </c>
      <c r="F1240" s="70" t="s">
        <v>1859</v>
      </c>
      <c r="G1240" s="70" t="s">
        <v>708</v>
      </c>
      <c r="H1240" s="70" t="s">
        <v>1860</v>
      </c>
      <c r="I1240" s="70" t="s">
        <v>547</v>
      </c>
      <c r="J1240" s="70" t="s">
        <v>1862</v>
      </c>
      <c r="K1240" s="70" t="s">
        <v>1263</v>
      </c>
      <c r="L1240" s="70" t="s">
        <v>595</v>
      </c>
      <c r="M1240" s="12" t="s">
        <v>918</v>
      </c>
      <c r="N1240" s="10">
        <v>1</v>
      </c>
      <c r="O1240" s="57">
        <f>P1240</f>
        <v>5589265.3600000003</v>
      </c>
      <c r="P1240" s="62">
        <f>6496405-907139.64</f>
        <v>5589265.3600000003</v>
      </c>
      <c r="Q1240" s="6" t="s">
        <v>397</v>
      </c>
      <c r="R1240" s="6" t="s">
        <v>770</v>
      </c>
      <c r="S1240" s="38" t="s">
        <v>1179</v>
      </c>
      <c r="T1240" s="15">
        <v>0</v>
      </c>
    </row>
    <row r="1241" spans="1:20" ht="51" outlineLevel="1">
      <c r="B1241" s="6">
        <v>1225</v>
      </c>
      <c r="C1241" s="16" t="s">
        <v>714</v>
      </c>
      <c r="D1241" s="6" t="s">
        <v>601</v>
      </c>
      <c r="E1241" s="12" t="s">
        <v>1264</v>
      </c>
      <c r="F1241" s="70" t="s">
        <v>1863</v>
      </c>
      <c r="G1241" s="70" t="s">
        <v>1265</v>
      </c>
      <c r="H1241" s="70" t="s">
        <v>1863</v>
      </c>
      <c r="I1241" s="70" t="s">
        <v>1265</v>
      </c>
      <c r="J1241" s="70" t="s">
        <v>1864</v>
      </c>
      <c r="K1241" s="70" t="s">
        <v>271</v>
      </c>
      <c r="L1241" s="70" t="s">
        <v>595</v>
      </c>
      <c r="M1241" s="12" t="s">
        <v>918</v>
      </c>
      <c r="N1241" s="10">
        <v>1</v>
      </c>
      <c r="O1241" s="57">
        <f>P1241</f>
        <v>0</v>
      </c>
      <c r="P1241" s="62">
        <f>630000-630000</f>
        <v>0</v>
      </c>
      <c r="Q1241" s="6" t="s">
        <v>397</v>
      </c>
      <c r="R1241" s="6" t="s">
        <v>770</v>
      </c>
      <c r="S1241" s="38" t="s">
        <v>1179</v>
      </c>
      <c r="T1241" s="15">
        <v>0</v>
      </c>
    </row>
    <row r="1242" spans="1:20" ht="89.25" outlineLevel="1">
      <c r="B1242" s="6">
        <v>1226</v>
      </c>
      <c r="C1242" s="16" t="s">
        <v>714</v>
      </c>
      <c r="D1242" s="6" t="s">
        <v>601</v>
      </c>
      <c r="E1242" s="12" t="s">
        <v>1266</v>
      </c>
      <c r="F1242" s="70" t="s">
        <v>1865</v>
      </c>
      <c r="G1242" s="70" t="s">
        <v>1267</v>
      </c>
      <c r="H1242" s="70" t="s">
        <v>1866</v>
      </c>
      <c r="I1242" s="70" t="s">
        <v>1268</v>
      </c>
      <c r="J1242" s="70" t="s">
        <v>1867</v>
      </c>
      <c r="K1242" s="70" t="s">
        <v>272</v>
      </c>
      <c r="L1242" s="70" t="s">
        <v>595</v>
      </c>
      <c r="M1242" s="12" t="s">
        <v>918</v>
      </c>
      <c r="N1242" s="10">
        <v>1</v>
      </c>
      <c r="O1242" s="57">
        <v>369600</v>
      </c>
      <c r="P1242" s="62">
        <f t="shared" si="22"/>
        <v>369600</v>
      </c>
      <c r="Q1242" s="6" t="s">
        <v>397</v>
      </c>
      <c r="R1242" s="6" t="s">
        <v>770</v>
      </c>
      <c r="S1242" s="38" t="s">
        <v>1179</v>
      </c>
      <c r="T1242" s="15">
        <v>0</v>
      </c>
    </row>
    <row r="1243" spans="1:20" ht="63.75" outlineLevel="1">
      <c r="B1243" s="6">
        <v>1227</v>
      </c>
      <c r="C1243" s="16" t="s">
        <v>714</v>
      </c>
      <c r="D1243" s="6" t="s">
        <v>601</v>
      </c>
      <c r="E1243" s="12" t="s">
        <v>546</v>
      </c>
      <c r="F1243" s="70" t="s">
        <v>1859</v>
      </c>
      <c r="G1243" s="70" t="s">
        <v>708</v>
      </c>
      <c r="H1243" s="70" t="s">
        <v>1860</v>
      </c>
      <c r="I1243" s="70" t="s">
        <v>547</v>
      </c>
      <c r="J1243" s="70" t="s">
        <v>1868</v>
      </c>
      <c r="K1243" s="70" t="s">
        <v>273</v>
      </c>
      <c r="L1243" s="70" t="s">
        <v>595</v>
      </c>
      <c r="M1243" s="12" t="s">
        <v>918</v>
      </c>
      <c r="N1243" s="10">
        <v>1</v>
      </c>
      <c r="O1243" s="57">
        <v>186438</v>
      </c>
      <c r="P1243" s="62">
        <f t="shared" si="22"/>
        <v>186438</v>
      </c>
      <c r="Q1243" s="6" t="s">
        <v>397</v>
      </c>
      <c r="R1243" s="6" t="s">
        <v>770</v>
      </c>
      <c r="S1243" s="38" t="s">
        <v>1179</v>
      </c>
      <c r="T1243" s="15">
        <v>0</v>
      </c>
    </row>
    <row r="1244" spans="1:20" ht="63.75" outlineLevel="1">
      <c r="B1244" s="6">
        <v>1228</v>
      </c>
      <c r="C1244" s="16" t="s">
        <v>714</v>
      </c>
      <c r="D1244" s="6" t="s">
        <v>601</v>
      </c>
      <c r="E1244" s="12" t="s">
        <v>546</v>
      </c>
      <c r="F1244" s="70" t="s">
        <v>1859</v>
      </c>
      <c r="G1244" s="70" t="s">
        <v>708</v>
      </c>
      <c r="H1244" s="70" t="s">
        <v>1860</v>
      </c>
      <c r="I1244" s="70" t="s">
        <v>547</v>
      </c>
      <c r="J1244" s="70" t="s">
        <v>1869</v>
      </c>
      <c r="K1244" s="70" t="s">
        <v>274</v>
      </c>
      <c r="L1244" s="70" t="s">
        <v>595</v>
      </c>
      <c r="M1244" s="12" t="s">
        <v>918</v>
      </c>
      <c r="N1244" s="10">
        <v>1</v>
      </c>
      <c r="O1244" s="57">
        <v>2191208</v>
      </c>
      <c r="P1244" s="62">
        <f t="shared" si="22"/>
        <v>2191208</v>
      </c>
      <c r="Q1244" s="6" t="s">
        <v>397</v>
      </c>
      <c r="R1244" s="6" t="s">
        <v>770</v>
      </c>
      <c r="S1244" s="38" t="s">
        <v>1179</v>
      </c>
      <c r="T1244" s="15">
        <v>0</v>
      </c>
    </row>
    <row r="1245" spans="1:20" ht="51" outlineLevel="1">
      <c r="B1245" s="6">
        <v>1229</v>
      </c>
      <c r="C1245" s="16" t="s">
        <v>714</v>
      </c>
      <c r="D1245" s="6" t="s">
        <v>601</v>
      </c>
      <c r="E1245" s="12" t="s">
        <v>937</v>
      </c>
      <c r="F1245" s="70" t="s">
        <v>2244</v>
      </c>
      <c r="G1245" s="70" t="s">
        <v>938</v>
      </c>
      <c r="H1245" s="70" t="s">
        <v>2243</v>
      </c>
      <c r="I1245" s="70" t="s">
        <v>939</v>
      </c>
      <c r="J1245" s="70" t="s">
        <v>2242</v>
      </c>
      <c r="K1245" s="70" t="s">
        <v>275</v>
      </c>
      <c r="L1245" s="70" t="s">
        <v>595</v>
      </c>
      <c r="M1245" s="12" t="s">
        <v>918</v>
      </c>
      <c r="N1245" s="10">
        <v>1</v>
      </c>
      <c r="O1245" s="57">
        <v>16320000</v>
      </c>
      <c r="P1245" s="62">
        <f t="shared" si="22"/>
        <v>16320000</v>
      </c>
      <c r="Q1245" s="6" t="s">
        <v>397</v>
      </c>
      <c r="R1245" s="6" t="s">
        <v>770</v>
      </c>
      <c r="S1245" s="38" t="s">
        <v>1179</v>
      </c>
      <c r="T1245" s="15">
        <v>0</v>
      </c>
    </row>
    <row r="1246" spans="1:20" ht="76.5" outlineLevel="1">
      <c r="B1246" s="6">
        <v>1230</v>
      </c>
      <c r="C1246" s="16" t="s">
        <v>714</v>
      </c>
      <c r="D1246" s="6" t="s">
        <v>601</v>
      </c>
      <c r="E1246" s="12" t="s">
        <v>1260</v>
      </c>
      <c r="F1246" s="70" t="s">
        <v>1855</v>
      </c>
      <c r="G1246" s="70" t="s">
        <v>1261</v>
      </c>
      <c r="H1246" s="70" t="s">
        <v>1856</v>
      </c>
      <c r="I1246" s="70" t="s">
        <v>1262</v>
      </c>
      <c r="J1246" s="70" t="s">
        <v>1870</v>
      </c>
      <c r="K1246" s="70" t="s">
        <v>276</v>
      </c>
      <c r="L1246" s="70" t="s">
        <v>595</v>
      </c>
      <c r="M1246" s="12" t="s">
        <v>918</v>
      </c>
      <c r="N1246" s="10">
        <v>1</v>
      </c>
      <c r="O1246" s="57">
        <v>1336798</v>
      </c>
      <c r="P1246" s="62">
        <f t="shared" si="22"/>
        <v>1336798</v>
      </c>
      <c r="Q1246" s="6" t="s">
        <v>397</v>
      </c>
      <c r="R1246" s="6" t="s">
        <v>770</v>
      </c>
      <c r="S1246" s="38" t="s">
        <v>1179</v>
      </c>
      <c r="T1246" s="15">
        <v>0</v>
      </c>
    </row>
    <row r="1247" spans="1:20" ht="63.75" outlineLevel="1">
      <c r="B1247" s="6">
        <v>1231</v>
      </c>
      <c r="C1247" s="16" t="s">
        <v>714</v>
      </c>
      <c r="D1247" s="6" t="s">
        <v>601</v>
      </c>
      <c r="E1247" s="6" t="s">
        <v>1412</v>
      </c>
      <c r="F1247" s="70" t="s">
        <v>1878</v>
      </c>
      <c r="G1247" s="70" t="s">
        <v>1413</v>
      </c>
      <c r="H1247" s="70" t="s">
        <v>1879</v>
      </c>
      <c r="I1247" s="70" t="s">
        <v>1414</v>
      </c>
      <c r="J1247" s="70" t="s">
        <v>1877</v>
      </c>
      <c r="K1247" s="70" t="s">
        <v>65</v>
      </c>
      <c r="L1247" s="70" t="s">
        <v>595</v>
      </c>
      <c r="M1247" s="12" t="s">
        <v>918</v>
      </c>
      <c r="N1247" s="26">
        <v>1</v>
      </c>
      <c r="O1247" s="57">
        <v>178571</v>
      </c>
      <c r="P1247" s="62">
        <f t="shared" si="22"/>
        <v>178571</v>
      </c>
      <c r="Q1247" s="6" t="s">
        <v>397</v>
      </c>
      <c r="R1247" s="6" t="s">
        <v>2397</v>
      </c>
      <c r="S1247" s="38" t="s">
        <v>1179</v>
      </c>
      <c r="T1247" s="26">
        <v>0</v>
      </c>
    </row>
    <row r="1248" spans="1:20" ht="39" customHeight="1" outlineLevel="1">
      <c r="B1248" s="6">
        <v>1232</v>
      </c>
      <c r="C1248" s="16" t="s">
        <v>714</v>
      </c>
      <c r="D1248" s="6" t="s">
        <v>601</v>
      </c>
      <c r="E1248" s="12" t="s">
        <v>546</v>
      </c>
      <c r="F1248" s="70" t="s">
        <v>1859</v>
      </c>
      <c r="G1248" s="70" t="s">
        <v>708</v>
      </c>
      <c r="H1248" s="70" t="s">
        <v>1860</v>
      </c>
      <c r="I1248" s="70" t="s">
        <v>547</v>
      </c>
      <c r="J1248" s="70" t="s">
        <v>1876</v>
      </c>
      <c r="K1248" s="70" t="s">
        <v>277</v>
      </c>
      <c r="L1248" s="70" t="s">
        <v>595</v>
      </c>
      <c r="M1248" s="12" t="s">
        <v>918</v>
      </c>
      <c r="N1248" s="26">
        <v>1</v>
      </c>
      <c r="O1248" s="57">
        <f>P1248/N1248</f>
        <v>0</v>
      </c>
      <c r="P1248" s="62">
        <f>160714-160714</f>
        <v>0</v>
      </c>
      <c r="Q1248" s="6" t="s">
        <v>397</v>
      </c>
      <c r="R1248" s="6" t="s">
        <v>770</v>
      </c>
      <c r="S1248" s="38" t="s">
        <v>1179</v>
      </c>
      <c r="T1248" s="26">
        <v>0</v>
      </c>
    </row>
    <row r="1249" spans="1:20" ht="63.75" outlineLevel="1">
      <c r="B1249" s="6">
        <v>1233</v>
      </c>
      <c r="C1249" s="16" t="s">
        <v>714</v>
      </c>
      <c r="D1249" s="6" t="s">
        <v>601</v>
      </c>
      <c r="E1249" s="12" t="s">
        <v>1269</v>
      </c>
      <c r="F1249" s="70" t="s">
        <v>1871</v>
      </c>
      <c r="G1249" s="70" t="s">
        <v>1270</v>
      </c>
      <c r="H1249" s="70" t="s">
        <v>1872</v>
      </c>
      <c r="I1249" s="70" t="s">
        <v>1271</v>
      </c>
      <c r="J1249" s="70" t="s">
        <v>1873</v>
      </c>
      <c r="K1249" s="70" t="s">
        <v>48</v>
      </c>
      <c r="L1249" s="70" t="s">
        <v>595</v>
      </c>
      <c r="M1249" s="12" t="s">
        <v>918</v>
      </c>
      <c r="N1249" s="10">
        <v>1</v>
      </c>
      <c r="O1249" s="57">
        <v>38214</v>
      </c>
      <c r="P1249" s="62">
        <f t="shared" si="22"/>
        <v>38214</v>
      </c>
      <c r="Q1249" s="15" t="s">
        <v>505</v>
      </c>
      <c r="R1249" s="16" t="s">
        <v>1476</v>
      </c>
      <c r="S1249" s="38" t="s">
        <v>1179</v>
      </c>
      <c r="T1249" s="15">
        <v>100</v>
      </c>
    </row>
    <row r="1250" spans="1:20" ht="111.75" customHeight="1" outlineLevel="1">
      <c r="B1250" s="6">
        <v>1234</v>
      </c>
      <c r="C1250" s="16" t="s">
        <v>714</v>
      </c>
      <c r="D1250" s="6" t="s">
        <v>601</v>
      </c>
      <c r="E1250" s="12" t="s">
        <v>1272</v>
      </c>
      <c r="F1250" s="70" t="s">
        <v>1874</v>
      </c>
      <c r="G1250" s="70" t="s">
        <v>1273</v>
      </c>
      <c r="H1250" s="70" t="s">
        <v>1874</v>
      </c>
      <c r="I1250" s="70" t="s">
        <v>1274</v>
      </c>
      <c r="J1250" s="70" t="s">
        <v>1875</v>
      </c>
      <c r="K1250" s="70" t="s">
        <v>49</v>
      </c>
      <c r="L1250" s="70" t="s">
        <v>595</v>
      </c>
      <c r="M1250" s="12" t="s">
        <v>918</v>
      </c>
      <c r="N1250" s="10">
        <v>1</v>
      </c>
      <c r="O1250" s="57">
        <v>804000</v>
      </c>
      <c r="P1250" s="62">
        <f t="shared" si="22"/>
        <v>804000</v>
      </c>
      <c r="Q1250" s="6" t="s">
        <v>397</v>
      </c>
      <c r="R1250" s="6" t="s">
        <v>770</v>
      </c>
      <c r="S1250" s="38" t="s">
        <v>1179</v>
      </c>
      <c r="T1250" s="15">
        <v>100</v>
      </c>
    </row>
    <row r="1251" spans="1:20" ht="63.75" outlineLevel="1">
      <c r="B1251" s="6">
        <v>1235</v>
      </c>
      <c r="C1251" s="36" t="s">
        <v>714</v>
      </c>
      <c r="D1251" s="43" t="s">
        <v>601</v>
      </c>
      <c r="E1251" s="12" t="s">
        <v>546</v>
      </c>
      <c r="F1251" s="70" t="s">
        <v>2078</v>
      </c>
      <c r="G1251" s="70" t="s">
        <v>708</v>
      </c>
      <c r="H1251" s="70" t="s">
        <v>2079</v>
      </c>
      <c r="I1251" s="70" t="s">
        <v>547</v>
      </c>
      <c r="J1251" s="70" t="s">
        <v>1016</v>
      </c>
      <c r="K1251" s="70" t="s">
        <v>66</v>
      </c>
      <c r="L1251" s="70" t="s">
        <v>595</v>
      </c>
      <c r="M1251" s="12" t="s">
        <v>918</v>
      </c>
      <c r="N1251" s="26">
        <v>1</v>
      </c>
      <c r="O1251" s="57">
        <v>721083</v>
      </c>
      <c r="P1251" s="62">
        <f t="shared" si="22"/>
        <v>721083</v>
      </c>
      <c r="Q1251" s="6" t="s">
        <v>397</v>
      </c>
      <c r="R1251" s="6" t="s">
        <v>770</v>
      </c>
      <c r="S1251" s="38" t="s">
        <v>2038</v>
      </c>
      <c r="T1251" s="26">
        <v>0</v>
      </c>
    </row>
    <row r="1252" spans="1:20" ht="63.75" outlineLevel="1">
      <c r="B1252" s="6">
        <v>1236</v>
      </c>
      <c r="C1252" s="16" t="s">
        <v>714</v>
      </c>
      <c r="D1252" s="6" t="s">
        <v>601</v>
      </c>
      <c r="E1252" s="12" t="s">
        <v>546</v>
      </c>
      <c r="F1252" s="70" t="s">
        <v>2078</v>
      </c>
      <c r="G1252" s="70" t="s">
        <v>708</v>
      </c>
      <c r="H1252" s="70" t="s">
        <v>2079</v>
      </c>
      <c r="I1252" s="70" t="s">
        <v>547</v>
      </c>
      <c r="J1252" s="70" t="s">
        <v>1016</v>
      </c>
      <c r="K1252" s="70" t="s">
        <v>66</v>
      </c>
      <c r="L1252" s="70" t="s">
        <v>595</v>
      </c>
      <c r="M1252" s="12" t="s">
        <v>918</v>
      </c>
      <c r="N1252" s="26">
        <v>1</v>
      </c>
      <c r="O1252" s="57">
        <v>743165</v>
      </c>
      <c r="P1252" s="62">
        <f t="shared" si="22"/>
        <v>743165</v>
      </c>
      <c r="Q1252" s="6" t="s">
        <v>397</v>
      </c>
      <c r="R1252" s="6" t="s">
        <v>770</v>
      </c>
      <c r="S1252" s="38" t="s">
        <v>1025</v>
      </c>
      <c r="T1252" s="6">
        <v>0</v>
      </c>
    </row>
    <row r="1253" spans="1:20" ht="63.75" outlineLevel="1">
      <c r="B1253" s="6">
        <v>1237</v>
      </c>
      <c r="C1253" s="16" t="s">
        <v>714</v>
      </c>
      <c r="D1253" s="6" t="s">
        <v>601</v>
      </c>
      <c r="E1253" s="12" t="s">
        <v>546</v>
      </c>
      <c r="F1253" s="70" t="s">
        <v>2078</v>
      </c>
      <c r="G1253" s="70" t="s">
        <v>708</v>
      </c>
      <c r="H1253" s="70" t="s">
        <v>2079</v>
      </c>
      <c r="I1253" s="70" t="s">
        <v>547</v>
      </c>
      <c r="J1253" s="70" t="s">
        <v>1016</v>
      </c>
      <c r="K1253" s="70" t="s">
        <v>66</v>
      </c>
      <c r="L1253" s="70" t="s">
        <v>595</v>
      </c>
      <c r="M1253" s="12" t="s">
        <v>918</v>
      </c>
      <c r="N1253" s="26">
        <v>1</v>
      </c>
      <c r="O1253" s="57">
        <v>863839</v>
      </c>
      <c r="P1253" s="62">
        <f t="shared" si="22"/>
        <v>863839</v>
      </c>
      <c r="Q1253" s="6" t="s">
        <v>397</v>
      </c>
      <c r="R1253" s="6" t="s">
        <v>770</v>
      </c>
      <c r="S1253" s="38" t="s">
        <v>793</v>
      </c>
      <c r="T1253" s="6">
        <v>0</v>
      </c>
    </row>
    <row r="1254" spans="1:20" ht="63.75">
      <c r="B1254" s="6">
        <v>1238</v>
      </c>
      <c r="C1254" s="16" t="s">
        <v>714</v>
      </c>
      <c r="D1254" s="6" t="s">
        <v>601</v>
      </c>
      <c r="E1254" s="12" t="s">
        <v>546</v>
      </c>
      <c r="F1254" s="70" t="s">
        <v>2078</v>
      </c>
      <c r="G1254" s="70" t="s">
        <v>708</v>
      </c>
      <c r="H1254" s="70" t="s">
        <v>2079</v>
      </c>
      <c r="I1254" s="70" t="s">
        <v>547</v>
      </c>
      <c r="J1254" s="70" t="s">
        <v>1016</v>
      </c>
      <c r="K1254" s="70" t="s">
        <v>66</v>
      </c>
      <c r="L1254" s="70" t="s">
        <v>595</v>
      </c>
      <c r="M1254" s="12" t="s">
        <v>918</v>
      </c>
      <c r="N1254" s="26">
        <v>1</v>
      </c>
      <c r="O1254" s="57">
        <f>P1254/N1254</f>
        <v>1401195</v>
      </c>
      <c r="P1254" s="62">
        <f>1681434-280239</f>
        <v>1401195</v>
      </c>
      <c r="Q1254" s="6" t="s">
        <v>519</v>
      </c>
      <c r="R1254" s="6" t="s">
        <v>770</v>
      </c>
      <c r="S1254" s="38" t="s">
        <v>2030</v>
      </c>
      <c r="T1254" s="26">
        <v>0</v>
      </c>
    </row>
    <row r="1255" spans="1:20" s="14" customFormat="1" ht="63.75">
      <c r="A1255" s="17"/>
      <c r="B1255" s="6">
        <v>1239</v>
      </c>
      <c r="C1255" s="16" t="s">
        <v>714</v>
      </c>
      <c r="D1255" s="6" t="s">
        <v>601</v>
      </c>
      <c r="E1255" s="12" t="s">
        <v>546</v>
      </c>
      <c r="F1255" s="70" t="s">
        <v>2078</v>
      </c>
      <c r="G1255" s="70" t="s">
        <v>708</v>
      </c>
      <c r="H1255" s="70" t="s">
        <v>2079</v>
      </c>
      <c r="I1255" s="70" t="s">
        <v>547</v>
      </c>
      <c r="J1255" s="70" t="s">
        <v>1016</v>
      </c>
      <c r="K1255" s="70" t="s">
        <v>66</v>
      </c>
      <c r="L1255" s="70" t="s">
        <v>595</v>
      </c>
      <c r="M1255" s="12" t="s">
        <v>918</v>
      </c>
      <c r="N1255" s="26">
        <v>1</v>
      </c>
      <c r="O1255" s="57">
        <v>939771</v>
      </c>
      <c r="P1255" s="62">
        <f t="shared" si="22"/>
        <v>939771</v>
      </c>
      <c r="Q1255" s="6" t="s">
        <v>397</v>
      </c>
      <c r="R1255" s="6" t="s">
        <v>770</v>
      </c>
      <c r="S1255" s="38" t="s">
        <v>2031</v>
      </c>
      <c r="T1255" s="26">
        <v>100</v>
      </c>
    </row>
    <row r="1256" spans="1:20" ht="63.75">
      <c r="B1256" s="6">
        <v>1240</v>
      </c>
      <c r="C1256" s="16" t="s">
        <v>714</v>
      </c>
      <c r="D1256" s="6" t="s">
        <v>601</v>
      </c>
      <c r="E1256" s="12" t="s">
        <v>546</v>
      </c>
      <c r="F1256" s="70" t="s">
        <v>2078</v>
      </c>
      <c r="G1256" s="70" t="s">
        <v>708</v>
      </c>
      <c r="H1256" s="70" t="s">
        <v>2079</v>
      </c>
      <c r="I1256" s="70" t="s">
        <v>547</v>
      </c>
      <c r="J1256" s="70" t="s">
        <v>1016</v>
      </c>
      <c r="K1256" s="70" t="s">
        <v>66</v>
      </c>
      <c r="L1256" s="70" t="s">
        <v>595</v>
      </c>
      <c r="M1256" s="12" t="s">
        <v>918</v>
      </c>
      <c r="N1256" s="26">
        <v>1</v>
      </c>
      <c r="O1256" s="57">
        <v>1007813</v>
      </c>
      <c r="P1256" s="62">
        <f t="shared" si="22"/>
        <v>1007813</v>
      </c>
      <c r="Q1256" s="6" t="s">
        <v>397</v>
      </c>
      <c r="R1256" s="6" t="s">
        <v>770</v>
      </c>
      <c r="S1256" s="38" t="s">
        <v>637</v>
      </c>
      <c r="T1256" s="26">
        <v>0</v>
      </c>
    </row>
    <row r="1257" spans="1:20" ht="63.75" outlineLevel="1">
      <c r="B1257" s="6">
        <v>1241</v>
      </c>
      <c r="C1257" s="16" t="s">
        <v>714</v>
      </c>
      <c r="D1257" s="6" t="s">
        <v>601</v>
      </c>
      <c r="E1257" s="12" t="s">
        <v>546</v>
      </c>
      <c r="F1257" s="70" t="s">
        <v>2078</v>
      </c>
      <c r="G1257" s="70" t="s">
        <v>708</v>
      </c>
      <c r="H1257" s="70" t="s">
        <v>2079</v>
      </c>
      <c r="I1257" s="70" t="s">
        <v>547</v>
      </c>
      <c r="J1257" s="70" t="s">
        <v>1016</v>
      </c>
      <c r="K1257" s="70" t="s">
        <v>66</v>
      </c>
      <c r="L1257" s="70" t="s">
        <v>595</v>
      </c>
      <c r="M1257" s="12" t="s">
        <v>918</v>
      </c>
      <c r="N1257" s="26">
        <v>1</v>
      </c>
      <c r="O1257" s="57">
        <v>671852</v>
      </c>
      <c r="P1257" s="62">
        <f t="shared" si="22"/>
        <v>671852</v>
      </c>
      <c r="Q1257" s="6" t="s">
        <v>397</v>
      </c>
      <c r="R1257" s="6" t="s">
        <v>770</v>
      </c>
      <c r="S1257" s="38">
        <v>311000000</v>
      </c>
      <c r="T1257" s="26">
        <v>0</v>
      </c>
    </row>
    <row r="1258" spans="1:20" ht="63.75">
      <c r="B1258" s="6">
        <v>1242</v>
      </c>
      <c r="C1258" s="16" t="s">
        <v>714</v>
      </c>
      <c r="D1258" s="6" t="s">
        <v>601</v>
      </c>
      <c r="E1258" s="12" t="s">
        <v>546</v>
      </c>
      <c r="F1258" s="70" t="s">
        <v>2078</v>
      </c>
      <c r="G1258" s="70" t="s">
        <v>708</v>
      </c>
      <c r="H1258" s="70" t="s">
        <v>2079</v>
      </c>
      <c r="I1258" s="70" t="s">
        <v>547</v>
      </c>
      <c r="J1258" s="70" t="s">
        <v>1016</v>
      </c>
      <c r="K1258" s="70" t="s">
        <v>66</v>
      </c>
      <c r="L1258" s="70" t="s">
        <v>595</v>
      </c>
      <c r="M1258" s="12" t="s">
        <v>918</v>
      </c>
      <c r="N1258" s="26">
        <v>1</v>
      </c>
      <c r="O1258" s="57">
        <v>575893</v>
      </c>
      <c r="P1258" s="62">
        <f t="shared" si="22"/>
        <v>575893</v>
      </c>
      <c r="Q1258" s="6" t="s">
        <v>397</v>
      </c>
      <c r="R1258" s="6" t="s">
        <v>770</v>
      </c>
      <c r="S1258" s="38" t="s">
        <v>2032</v>
      </c>
      <c r="T1258" s="6">
        <v>100</v>
      </c>
    </row>
    <row r="1259" spans="1:20" ht="63.75">
      <c r="B1259" s="6">
        <v>1243</v>
      </c>
      <c r="C1259" s="16" t="s">
        <v>714</v>
      </c>
      <c r="D1259" s="6" t="s">
        <v>601</v>
      </c>
      <c r="E1259" s="12" t="s">
        <v>546</v>
      </c>
      <c r="F1259" s="70" t="s">
        <v>2078</v>
      </c>
      <c r="G1259" s="70" t="s">
        <v>708</v>
      </c>
      <c r="H1259" s="70" t="s">
        <v>2079</v>
      </c>
      <c r="I1259" s="70" t="s">
        <v>547</v>
      </c>
      <c r="J1259" s="70" t="s">
        <v>1016</v>
      </c>
      <c r="K1259" s="70" t="s">
        <v>66</v>
      </c>
      <c r="L1259" s="70" t="s">
        <v>595</v>
      </c>
      <c r="M1259" s="12" t="s">
        <v>918</v>
      </c>
      <c r="N1259" s="26">
        <v>1</v>
      </c>
      <c r="O1259" s="57">
        <v>1151785</v>
      </c>
      <c r="P1259" s="62">
        <f t="shared" si="22"/>
        <v>1151785</v>
      </c>
      <c r="Q1259" s="6" t="s">
        <v>397</v>
      </c>
      <c r="R1259" s="6" t="s">
        <v>770</v>
      </c>
      <c r="S1259" s="38">
        <v>351000000</v>
      </c>
      <c r="T1259" s="26">
        <v>0</v>
      </c>
    </row>
    <row r="1260" spans="1:20" ht="63.75">
      <c r="B1260" s="6">
        <v>1244</v>
      </c>
      <c r="C1260" s="16" t="s">
        <v>714</v>
      </c>
      <c r="D1260" s="6" t="s">
        <v>601</v>
      </c>
      <c r="E1260" s="12" t="s">
        <v>546</v>
      </c>
      <c r="F1260" s="70" t="s">
        <v>2078</v>
      </c>
      <c r="G1260" s="70" t="s">
        <v>708</v>
      </c>
      <c r="H1260" s="70" t="s">
        <v>2079</v>
      </c>
      <c r="I1260" s="70" t="s">
        <v>547</v>
      </c>
      <c r="J1260" s="70" t="s">
        <v>1016</v>
      </c>
      <c r="K1260" s="70" t="s">
        <v>66</v>
      </c>
      <c r="L1260" s="70" t="s">
        <v>595</v>
      </c>
      <c r="M1260" s="12" t="s">
        <v>918</v>
      </c>
      <c r="N1260" s="26">
        <v>1</v>
      </c>
      <c r="O1260" s="57">
        <v>1055804</v>
      </c>
      <c r="P1260" s="62">
        <f t="shared" si="22"/>
        <v>1055804</v>
      </c>
      <c r="Q1260" s="6" t="s">
        <v>397</v>
      </c>
      <c r="R1260" s="6" t="s">
        <v>770</v>
      </c>
      <c r="S1260" s="38" t="s">
        <v>929</v>
      </c>
      <c r="T1260" s="26">
        <v>0</v>
      </c>
    </row>
    <row r="1261" spans="1:20" ht="63.75" outlineLevel="1">
      <c r="B1261" s="6">
        <v>1245</v>
      </c>
      <c r="C1261" s="16" t="s">
        <v>714</v>
      </c>
      <c r="D1261" s="6" t="s">
        <v>601</v>
      </c>
      <c r="E1261" s="12" t="s">
        <v>546</v>
      </c>
      <c r="F1261" s="70" t="s">
        <v>2078</v>
      </c>
      <c r="G1261" s="70" t="s">
        <v>708</v>
      </c>
      <c r="H1261" s="70" t="s">
        <v>2079</v>
      </c>
      <c r="I1261" s="70" t="s">
        <v>547</v>
      </c>
      <c r="J1261" s="70" t="s">
        <v>1016</v>
      </c>
      <c r="K1261" s="70" t="s">
        <v>66</v>
      </c>
      <c r="L1261" s="70" t="s">
        <v>595</v>
      </c>
      <c r="M1261" s="12" t="s">
        <v>918</v>
      </c>
      <c r="N1261" s="26">
        <v>1</v>
      </c>
      <c r="O1261" s="57">
        <v>446429</v>
      </c>
      <c r="P1261" s="62">
        <f t="shared" si="22"/>
        <v>446429</v>
      </c>
      <c r="Q1261" s="6" t="s">
        <v>397</v>
      </c>
      <c r="R1261" s="6" t="s">
        <v>770</v>
      </c>
      <c r="S1261" s="38">
        <v>431000000</v>
      </c>
      <c r="T1261" s="26">
        <v>0</v>
      </c>
    </row>
    <row r="1262" spans="1:20" ht="63.75" outlineLevel="1">
      <c r="B1262" s="6">
        <v>1246</v>
      </c>
      <c r="C1262" s="36" t="s">
        <v>714</v>
      </c>
      <c r="D1262" s="43" t="s">
        <v>601</v>
      </c>
      <c r="E1262" s="12" t="s">
        <v>546</v>
      </c>
      <c r="F1262" s="70" t="s">
        <v>2078</v>
      </c>
      <c r="G1262" s="70" t="s">
        <v>708</v>
      </c>
      <c r="H1262" s="70" t="s">
        <v>2079</v>
      </c>
      <c r="I1262" s="70" t="s">
        <v>547</v>
      </c>
      <c r="J1262" s="70" t="s">
        <v>1016</v>
      </c>
      <c r="K1262" s="70" t="s">
        <v>66</v>
      </c>
      <c r="L1262" s="70" t="s">
        <v>595</v>
      </c>
      <c r="M1262" s="12" t="s">
        <v>918</v>
      </c>
      <c r="N1262" s="65">
        <v>1</v>
      </c>
      <c r="O1262" s="57">
        <v>1124431</v>
      </c>
      <c r="P1262" s="62">
        <f t="shared" si="22"/>
        <v>1124431</v>
      </c>
      <c r="Q1262" s="6" t="s">
        <v>397</v>
      </c>
      <c r="R1262" s="6" t="s">
        <v>770</v>
      </c>
      <c r="S1262" s="38" t="s">
        <v>719</v>
      </c>
      <c r="T1262" s="26">
        <v>100</v>
      </c>
    </row>
    <row r="1263" spans="1:20" s="39" customFormat="1" ht="63.75">
      <c r="B1263" s="6">
        <v>1247</v>
      </c>
      <c r="C1263" s="16" t="s">
        <v>714</v>
      </c>
      <c r="D1263" s="6" t="s">
        <v>601</v>
      </c>
      <c r="E1263" s="12" t="s">
        <v>546</v>
      </c>
      <c r="F1263" s="70" t="s">
        <v>2078</v>
      </c>
      <c r="G1263" s="70" t="s">
        <v>708</v>
      </c>
      <c r="H1263" s="70" t="s">
        <v>2079</v>
      </c>
      <c r="I1263" s="70" t="s">
        <v>547</v>
      </c>
      <c r="J1263" s="70" t="s">
        <v>1016</v>
      </c>
      <c r="K1263" s="70" t="s">
        <v>66</v>
      </c>
      <c r="L1263" s="70" t="s">
        <v>595</v>
      </c>
      <c r="M1263" s="12" t="s">
        <v>918</v>
      </c>
      <c r="N1263" s="26">
        <v>1</v>
      </c>
      <c r="O1263" s="57">
        <v>660300</v>
      </c>
      <c r="P1263" s="62">
        <f t="shared" si="22"/>
        <v>660300</v>
      </c>
      <c r="Q1263" s="6" t="s">
        <v>397</v>
      </c>
      <c r="R1263" s="6" t="s">
        <v>398</v>
      </c>
      <c r="S1263" s="38">
        <v>551000000</v>
      </c>
      <c r="T1263" s="26">
        <v>100</v>
      </c>
    </row>
    <row r="1264" spans="1:20" ht="63.75" outlineLevel="1">
      <c r="B1264" s="6">
        <v>1248</v>
      </c>
      <c r="C1264" s="16" t="s">
        <v>945</v>
      </c>
      <c r="D1264" s="6" t="s">
        <v>601</v>
      </c>
      <c r="E1264" s="12" t="s">
        <v>546</v>
      </c>
      <c r="F1264" s="70" t="s">
        <v>2078</v>
      </c>
      <c r="G1264" s="70" t="s">
        <v>708</v>
      </c>
      <c r="H1264" s="70" t="s">
        <v>2079</v>
      </c>
      <c r="I1264" s="70" t="s">
        <v>547</v>
      </c>
      <c r="J1264" s="70" t="s">
        <v>1016</v>
      </c>
      <c r="K1264" s="70" t="s">
        <v>66</v>
      </c>
      <c r="L1264" s="70" t="s">
        <v>595</v>
      </c>
      <c r="M1264" s="12" t="s">
        <v>918</v>
      </c>
      <c r="N1264" s="26">
        <v>1</v>
      </c>
      <c r="O1264" s="57">
        <v>795595</v>
      </c>
      <c r="P1264" s="62">
        <f t="shared" si="22"/>
        <v>795595</v>
      </c>
      <c r="Q1264" s="6" t="s">
        <v>397</v>
      </c>
      <c r="R1264" s="6" t="s">
        <v>770</v>
      </c>
      <c r="S1264" s="38">
        <v>591000000</v>
      </c>
      <c r="T1264" s="26">
        <v>0</v>
      </c>
    </row>
    <row r="1265" spans="1:20" ht="63.75" outlineLevel="1">
      <c r="B1265" s="6">
        <v>1249</v>
      </c>
      <c r="C1265" s="16" t="s">
        <v>714</v>
      </c>
      <c r="D1265" s="6" t="s">
        <v>601</v>
      </c>
      <c r="E1265" s="12" t="s">
        <v>546</v>
      </c>
      <c r="F1265" s="70" t="s">
        <v>2078</v>
      </c>
      <c r="G1265" s="70" t="s">
        <v>708</v>
      </c>
      <c r="H1265" s="70" t="s">
        <v>2079</v>
      </c>
      <c r="I1265" s="70" t="s">
        <v>547</v>
      </c>
      <c r="J1265" s="70" t="s">
        <v>1016</v>
      </c>
      <c r="K1265" s="70" t="s">
        <v>66</v>
      </c>
      <c r="L1265" s="70" t="s">
        <v>595</v>
      </c>
      <c r="M1265" s="12" t="s">
        <v>918</v>
      </c>
      <c r="N1265" s="26">
        <v>1</v>
      </c>
      <c r="O1265" s="57">
        <v>803865</v>
      </c>
      <c r="P1265" s="62">
        <f t="shared" si="22"/>
        <v>803865</v>
      </c>
      <c r="Q1265" s="6" t="s">
        <v>397</v>
      </c>
      <c r="R1265" s="6" t="s">
        <v>770</v>
      </c>
      <c r="S1265" s="38" t="s">
        <v>2037</v>
      </c>
      <c r="T1265" s="6">
        <v>0</v>
      </c>
    </row>
    <row r="1266" spans="1:20" ht="51" outlineLevel="1">
      <c r="B1266" s="6">
        <v>1250</v>
      </c>
      <c r="C1266" s="36" t="s">
        <v>714</v>
      </c>
      <c r="D1266" s="43" t="s">
        <v>601</v>
      </c>
      <c r="E1266" s="11" t="s">
        <v>548</v>
      </c>
      <c r="F1266" s="70" t="s">
        <v>1017</v>
      </c>
      <c r="G1266" s="70" t="s">
        <v>1018</v>
      </c>
      <c r="H1266" s="70" t="s">
        <v>1019</v>
      </c>
      <c r="I1266" s="70" t="s">
        <v>549</v>
      </c>
      <c r="J1266" s="70" t="s">
        <v>1017</v>
      </c>
      <c r="K1266" s="70" t="s">
        <v>67</v>
      </c>
      <c r="L1266" s="70" t="s">
        <v>595</v>
      </c>
      <c r="M1266" s="12" t="s">
        <v>918</v>
      </c>
      <c r="N1266" s="26">
        <v>1</v>
      </c>
      <c r="O1266" s="57">
        <v>1651786</v>
      </c>
      <c r="P1266" s="62">
        <f t="shared" si="22"/>
        <v>1651786</v>
      </c>
      <c r="Q1266" s="6" t="s">
        <v>397</v>
      </c>
      <c r="R1266" s="6" t="s">
        <v>770</v>
      </c>
      <c r="S1266" s="38" t="s">
        <v>1179</v>
      </c>
      <c r="T1266" s="6">
        <v>100</v>
      </c>
    </row>
    <row r="1267" spans="1:20" ht="51" outlineLevel="1">
      <c r="B1267" s="6">
        <v>1251</v>
      </c>
      <c r="C1267" s="16" t="s">
        <v>714</v>
      </c>
      <c r="D1267" s="6" t="s">
        <v>601</v>
      </c>
      <c r="E1267" s="6" t="s">
        <v>550</v>
      </c>
      <c r="F1267" s="70" t="s">
        <v>1020</v>
      </c>
      <c r="G1267" s="70" t="s">
        <v>68</v>
      </c>
      <c r="H1267" s="70" t="s">
        <v>551</v>
      </c>
      <c r="I1267" s="70" t="s">
        <v>68</v>
      </c>
      <c r="J1267" s="70" t="s">
        <v>551</v>
      </c>
      <c r="K1267" s="70" t="s">
        <v>68</v>
      </c>
      <c r="L1267" s="70" t="s">
        <v>595</v>
      </c>
      <c r="M1267" s="12" t="s">
        <v>918</v>
      </c>
      <c r="N1267" s="26">
        <v>1</v>
      </c>
      <c r="O1267" s="57">
        <v>1881848</v>
      </c>
      <c r="P1267" s="62">
        <f t="shared" si="22"/>
        <v>1881848</v>
      </c>
      <c r="Q1267" s="6" t="s">
        <v>397</v>
      </c>
      <c r="R1267" s="6" t="s">
        <v>770</v>
      </c>
      <c r="S1267" s="38" t="s">
        <v>1179</v>
      </c>
      <c r="T1267" s="26">
        <v>0</v>
      </c>
    </row>
    <row r="1268" spans="1:20" ht="51" outlineLevel="1">
      <c r="B1268" s="6">
        <v>1252</v>
      </c>
      <c r="C1268" s="36" t="s">
        <v>714</v>
      </c>
      <c r="D1268" s="43" t="s">
        <v>601</v>
      </c>
      <c r="E1268" s="11" t="s">
        <v>548</v>
      </c>
      <c r="F1268" s="70" t="s">
        <v>1017</v>
      </c>
      <c r="G1268" s="70" t="s">
        <v>1018</v>
      </c>
      <c r="H1268" s="70" t="s">
        <v>1019</v>
      </c>
      <c r="I1268" s="70" t="s">
        <v>549</v>
      </c>
      <c r="J1268" s="70" t="s">
        <v>1017</v>
      </c>
      <c r="K1268" s="70" t="s">
        <v>67</v>
      </c>
      <c r="L1268" s="70" t="s">
        <v>595</v>
      </c>
      <c r="M1268" s="12" t="s">
        <v>918</v>
      </c>
      <c r="N1268" s="26">
        <v>1</v>
      </c>
      <c r="O1268" s="57">
        <v>137571</v>
      </c>
      <c r="P1268" s="62">
        <f t="shared" si="22"/>
        <v>137571</v>
      </c>
      <c r="Q1268" s="6" t="s">
        <v>397</v>
      </c>
      <c r="R1268" s="6" t="s">
        <v>770</v>
      </c>
      <c r="S1268" s="38" t="s">
        <v>2038</v>
      </c>
      <c r="T1268" s="6">
        <v>100</v>
      </c>
    </row>
    <row r="1269" spans="1:20" ht="51" outlineLevel="1">
      <c r="B1269" s="6">
        <v>1253</v>
      </c>
      <c r="C1269" s="36" t="s">
        <v>714</v>
      </c>
      <c r="D1269" s="43" t="s">
        <v>601</v>
      </c>
      <c r="E1269" s="11" t="s">
        <v>548</v>
      </c>
      <c r="F1269" s="70" t="s">
        <v>1017</v>
      </c>
      <c r="G1269" s="70" t="s">
        <v>1018</v>
      </c>
      <c r="H1269" s="70" t="s">
        <v>1019</v>
      </c>
      <c r="I1269" s="70" t="s">
        <v>549</v>
      </c>
      <c r="J1269" s="70" t="s">
        <v>1017</v>
      </c>
      <c r="K1269" s="70" t="s">
        <v>67</v>
      </c>
      <c r="L1269" s="70" t="s">
        <v>595</v>
      </c>
      <c r="M1269" s="12" t="s">
        <v>918</v>
      </c>
      <c r="N1269" s="26">
        <v>1</v>
      </c>
      <c r="O1269" s="57">
        <v>214286</v>
      </c>
      <c r="P1269" s="62">
        <f t="shared" si="22"/>
        <v>214286</v>
      </c>
      <c r="Q1269" s="6" t="s">
        <v>397</v>
      </c>
      <c r="R1269" s="6" t="s">
        <v>770</v>
      </c>
      <c r="S1269" s="38" t="s">
        <v>1025</v>
      </c>
      <c r="T1269" s="6">
        <v>100</v>
      </c>
    </row>
    <row r="1270" spans="1:20" ht="51" outlineLevel="1">
      <c r="B1270" s="6">
        <v>1254</v>
      </c>
      <c r="C1270" s="36" t="s">
        <v>714</v>
      </c>
      <c r="D1270" s="43" t="s">
        <v>601</v>
      </c>
      <c r="E1270" s="11" t="s">
        <v>548</v>
      </c>
      <c r="F1270" s="70" t="s">
        <v>1017</v>
      </c>
      <c r="G1270" s="70" t="s">
        <v>1018</v>
      </c>
      <c r="H1270" s="70" t="s">
        <v>1019</v>
      </c>
      <c r="I1270" s="70" t="s">
        <v>549</v>
      </c>
      <c r="J1270" s="70" t="s">
        <v>1017</v>
      </c>
      <c r="K1270" s="70" t="s">
        <v>67</v>
      </c>
      <c r="L1270" s="70" t="s">
        <v>595</v>
      </c>
      <c r="M1270" s="12" t="s">
        <v>918</v>
      </c>
      <c r="N1270" s="26">
        <v>1</v>
      </c>
      <c r="O1270" s="57">
        <v>321429</v>
      </c>
      <c r="P1270" s="62">
        <f t="shared" si="22"/>
        <v>321429</v>
      </c>
      <c r="Q1270" s="6" t="s">
        <v>397</v>
      </c>
      <c r="R1270" s="6" t="s">
        <v>770</v>
      </c>
      <c r="S1270" s="38" t="s">
        <v>793</v>
      </c>
      <c r="T1270" s="6">
        <v>100</v>
      </c>
    </row>
    <row r="1271" spans="1:20" ht="51" outlineLevel="1">
      <c r="B1271" s="6">
        <v>1255</v>
      </c>
      <c r="C1271" s="36" t="s">
        <v>714</v>
      </c>
      <c r="D1271" s="43" t="s">
        <v>601</v>
      </c>
      <c r="E1271" s="11" t="s">
        <v>548</v>
      </c>
      <c r="F1271" s="70" t="s">
        <v>1017</v>
      </c>
      <c r="G1271" s="70" t="s">
        <v>1018</v>
      </c>
      <c r="H1271" s="70" t="s">
        <v>1019</v>
      </c>
      <c r="I1271" s="70" t="s">
        <v>549</v>
      </c>
      <c r="J1271" s="70" t="s">
        <v>1017</v>
      </c>
      <c r="K1271" s="70" t="s">
        <v>67</v>
      </c>
      <c r="L1271" s="70" t="s">
        <v>595</v>
      </c>
      <c r="M1271" s="12" t="s">
        <v>918</v>
      </c>
      <c r="N1271" s="26">
        <v>1</v>
      </c>
      <c r="O1271" s="57">
        <v>321429</v>
      </c>
      <c r="P1271" s="62">
        <f t="shared" si="22"/>
        <v>321429</v>
      </c>
      <c r="Q1271" s="6" t="s">
        <v>397</v>
      </c>
      <c r="R1271" s="6" t="s">
        <v>770</v>
      </c>
      <c r="S1271" s="38" t="s">
        <v>2030</v>
      </c>
      <c r="T1271" s="6">
        <v>100</v>
      </c>
    </row>
    <row r="1272" spans="1:20" ht="51">
      <c r="A1272" s="61"/>
      <c r="B1272" s="6">
        <v>1256</v>
      </c>
      <c r="C1272" s="36" t="s">
        <v>714</v>
      </c>
      <c r="D1272" s="43" t="s">
        <v>601</v>
      </c>
      <c r="E1272" s="11" t="s">
        <v>548</v>
      </c>
      <c r="F1272" s="70" t="s">
        <v>1017</v>
      </c>
      <c r="G1272" s="70" t="s">
        <v>1018</v>
      </c>
      <c r="H1272" s="70" t="s">
        <v>1019</v>
      </c>
      <c r="I1272" s="70" t="s">
        <v>549</v>
      </c>
      <c r="J1272" s="70" t="s">
        <v>1017</v>
      </c>
      <c r="K1272" s="70" t="s">
        <v>67</v>
      </c>
      <c r="L1272" s="70" t="s">
        <v>595</v>
      </c>
      <c r="M1272" s="12" t="s">
        <v>918</v>
      </c>
      <c r="N1272" s="26">
        <v>1</v>
      </c>
      <c r="O1272" s="57">
        <v>205357</v>
      </c>
      <c r="P1272" s="62">
        <f t="shared" si="22"/>
        <v>205357</v>
      </c>
      <c r="Q1272" s="6" t="s">
        <v>397</v>
      </c>
      <c r="R1272" s="6" t="s">
        <v>770</v>
      </c>
      <c r="S1272" s="38" t="s">
        <v>2035</v>
      </c>
      <c r="T1272" s="6">
        <v>100</v>
      </c>
    </row>
    <row r="1273" spans="1:20" s="14" customFormat="1" ht="51">
      <c r="A1273" s="17"/>
      <c r="B1273" s="6">
        <v>1257</v>
      </c>
      <c r="C1273" s="36" t="s">
        <v>714</v>
      </c>
      <c r="D1273" s="43" t="s">
        <v>601</v>
      </c>
      <c r="E1273" s="11" t="s">
        <v>548</v>
      </c>
      <c r="F1273" s="70" t="s">
        <v>1017</v>
      </c>
      <c r="G1273" s="70" t="s">
        <v>1018</v>
      </c>
      <c r="H1273" s="70" t="s">
        <v>1019</v>
      </c>
      <c r="I1273" s="70" t="s">
        <v>549</v>
      </c>
      <c r="J1273" s="70" t="s">
        <v>1017</v>
      </c>
      <c r="K1273" s="70" t="s">
        <v>67</v>
      </c>
      <c r="L1273" s="70" t="s">
        <v>595</v>
      </c>
      <c r="M1273" s="12" t="s">
        <v>918</v>
      </c>
      <c r="N1273" s="26">
        <v>1</v>
      </c>
      <c r="O1273" s="57">
        <v>62679</v>
      </c>
      <c r="P1273" s="62">
        <f t="shared" si="22"/>
        <v>62679</v>
      </c>
      <c r="Q1273" s="6" t="s">
        <v>397</v>
      </c>
      <c r="R1273" s="6" t="s">
        <v>770</v>
      </c>
      <c r="S1273" s="38" t="s">
        <v>2031</v>
      </c>
      <c r="T1273" s="6">
        <v>100</v>
      </c>
    </row>
    <row r="1274" spans="1:20" ht="51" outlineLevel="1">
      <c r="B1274" s="6">
        <v>1258</v>
      </c>
      <c r="C1274" s="36" t="s">
        <v>714</v>
      </c>
      <c r="D1274" s="43" t="s">
        <v>601</v>
      </c>
      <c r="E1274" s="11" t="s">
        <v>548</v>
      </c>
      <c r="F1274" s="70" t="s">
        <v>1017</v>
      </c>
      <c r="G1274" s="70" t="s">
        <v>1018</v>
      </c>
      <c r="H1274" s="70" t="s">
        <v>1019</v>
      </c>
      <c r="I1274" s="70" t="s">
        <v>549</v>
      </c>
      <c r="J1274" s="70" t="s">
        <v>1017</v>
      </c>
      <c r="K1274" s="70" t="s">
        <v>67</v>
      </c>
      <c r="L1274" s="70" t="s">
        <v>595</v>
      </c>
      <c r="M1274" s="12" t="s">
        <v>918</v>
      </c>
      <c r="N1274" s="26">
        <v>1</v>
      </c>
      <c r="O1274" s="57">
        <v>200000</v>
      </c>
      <c r="P1274" s="62">
        <f t="shared" si="22"/>
        <v>200000</v>
      </c>
      <c r="Q1274" s="6" t="s">
        <v>397</v>
      </c>
      <c r="R1274" s="6" t="s">
        <v>770</v>
      </c>
      <c r="S1274" s="38" t="s">
        <v>637</v>
      </c>
      <c r="T1274" s="6">
        <v>100</v>
      </c>
    </row>
    <row r="1275" spans="1:20" ht="51" outlineLevel="1">
      <c r="B1275" s="6">
        <v>1259</v>
      </c>
      <c r="C1275" s="36" t="s">
        <v>714</v>
      </c>
      <c r="D1275" s="43" t="s">
        <v>601</v>
      </c>
      <c r="E1275" s="11" t="s">
        <v>548</v>
      </c>
      <c r="F1275" s="70" t="s">
        <v>1017</v>
      </c>
      <c r="G1275" s="70" t="s">
        <v>1018</v>
      </c>
      <c r="H1275" s="70" t="s">
        <v>1019</v>
      </c>
      <c r="I1275" s="70" t="s">
        <v>549</v>
      </c>
      <c r="J1275" s="70" t="s">
        <v>1017</v>
      </c>
      <c r="K1275" s="70" t="s">
        <v>67</v>
      </c>
      <c r="L1275" s="70" t="s">
        <v>595</v>
      </c>
      <c r="M1275" s="12" t="s">
        <v>918</v>
      </c>
      <c r="N1275" s="26">
        <v>1</v>
      </c>
      <c r="O1275" s="57">
        <v>171429</v>
      </c>
      <c r="P1275" s="62">
        <f t="shared" si="22"/>
        <v>171429</v>
      </c>
      <c r="Q1275" s="6" t="s">
        <v>397</v>
      </c>
      <c r="R1275" s="6" t="s">
        <v>770</v>
      </c>
      <c r="S1275" s="38">
        <v>311000000</v>
      </c>
      <c r="T1275" s="6">
        <v>100</v>
      </c>
    </row>
    <row r="1276" spans="1:20" ht="51" outlineLevel="1">
      <c r="B1276" s="6">
        <v>1260</v>
      </c>
      <c r="C1276" s="36" t="s">
        <v>714</v>
      </c>
      <c r="D1276" s="43" t="s">
        <v>601</v>
      </c>
      <c r="E1276" s="11" t="s">
        <v>548</v>
      </c>
      <c r="F1276" s="70" t="s">
        <v>1017</v>
      </c>
      <c r="G1276" s="70" t="s">
        <v>1018</v>
      </c>
      <c r="H1276" s="70" t="s">
        <v>1019</v>
      </c>
      <c r="I1276" s="70" t="s">
        <v>549</v>
      </c>
      <c r="J1276" s="70" t="s">
        <v>1017</v>
      </c>
      <c r="K1276" s="70" t="s">
        <v>67</v>
      </c>
      <c r="L1276" s="70" t="s">
        <v>595</v>
      </c>
      <c r="M1276" s="12" t="s">
        <v>918</v>
      </c>
      <c r="N1276" s="26">
        <v>1</v>
      </c>
      <c r="O1276" s="57">
        <v>53571</v>
      </c>
      <c r="P1276" s="62">
        <f t="shared" si="22"/>
        <v>53571</v>
      </c>
      <c r="Q1276" s="6" t="s">
        <v>397</v>
      </c>
      <c r="R1276" s="6" t="s">
        <v>770</v>
      </c>
      <c r="S1276" s="38" t="s">
        <v>2032</v>
      </c>
      <c r="T1276" s="6">
        <v>100</v>
      </c>
    </row>
    <row r="1277" spans="1:20" ht="51" outlineLevel="1">
      <c r="B1277" s="6">
        <v>1261</v>
      </c>
      <c r="C1277" s="36" t="s">
        <v>714</v>
      </c>
      <c r="D1277" s="43" t="s">
        <v>601</v>
      </c>
      <c r="E1277" s="11" t="s">
        <v>548</v>
      </c>
      <c r="F1277" s="70" t="s">
        <v>1017</v>
      </c>
      <c r="G1277" s="70" t="s">
        <v>1018</v>
      </c>
      <c r="H1277" s="70" t="s">
        <v>1019</v>
      </c>
      <c r="I1277" s="70" t="s">
        <v>549</v>
      </c>
      <c r="J1277" s="70" t="s">
        <v>1017</v>
      </c>
      <c r="K1277" s="70" t="s">
        <v>67</v>
      </c>
      <c r="L1277" s="70" t="s">
        <v>595</v>
      </c>
      <c r="M1277" s="12" t="s">
        <v>918</v>
      </c>
      <c r="N1277" s="26">
        <v>1</v>
      </c>
      <c r="O1277" s="57">
        <v>133929</v>
      </c>
      <c r="P1277" s="62">
        <f t="shared" si="22"/>
        <v>133929</v>
      </c>
      <c r="Q1277" s="6" t="s">
        <v>397</v>
      </c>
      <c r="R1277" s="6" t="s">
        <v>770</v>
      </c>
      <c r="S1277" s="38">
        <v>351000000</v>
      </c>
      <c r="T1277" s="6">
        <v>100</v>
      </c>
    </row>
    <row r="1278" spans="1:20" ht="51" outlineLevel="1">
      <c r="B1278" s="6">
        <v>1262</v>
      </c>
      <c r="C1278" s="36" t="s">
        <v>714</v>
      </c>
      <c r="D1278" s="43" t="s">
        <v>601</v>
      </c>
      <c r="E1278" s="11" t="s">
        <v>548</v>
      </c>
      <c r="F1278" s="70" t="s">
        <v>1017</v>
      </c>
      <c r="G1278" s="70" t="s">
        <v>1018</v>
      </c>
      <c r="H1278" s="70" t="s">
        <v>1019</v>
      </c>
      <c r="I1278" s="70" t="s">
        <v>549</v>
      </c>
      <c r="J1278" s="70" t="s">
        <v>1017</v>
      </c>
      <c r="K1278" s="70" t="s">
        <v>67</v>
      </c>
      <c r="L1278" s="70" t="s">
        <v>595</v>
      </c>
      <c r="M1278" s="12" t="s">
        <v>918</v>
      </c>
      <c r="N1278" s="26">
        <v>1</v>
      </c>
      <c r="O1278" s="57">
        <v>214286</v>
      </c>
      <c r="P1278" s="62">
        <f t="shared" si="22"/>
        <v>214286</v>
      </c>
      <c r="Q1278" s="6" t="s">
        <v>397</v>
      </c>
      <c r="R1278" s="6" t="s">
        <v>770</v>
      </c>
      <c r="S1278" s="38" t="s">
        <v>929</v>
      </c>
      <c r="T1278" s="6">
        <v>100</v>
      </c>
    </row>
    <row r="1279" spans="1:20" ht="51" outlineLevel="1">
      <c r="B1279" s="6">
        <v>1263</v>
      </c>
      <c r="C1279" s="36" t="s">
        <v>714</v>
      </c>
      <c r="D1279" s="43" t="s">
        <v>601</v>
      </c>
      <c r="E1279" s="11" t="s">
        <v>548</v>
      </c>
      <c r="F1279" s="70" t="s">
        <v>1017</v>
      </c>
      <c r="G1279" s="70" t="s">
        <v>1018</v>
      </c>
      <c r="H1279" s="70" t="s">
        <v>1019</v>
      </c>
      <c r="I1279" s="70" t="s">
        <v>549</v>
      </c>
      <c r="J1279" s="70" t="s">
        <v>1017</v>
      </c>
      <c r="K1279" s="70" t="s">
        <v>67</v>
      </c>
      <c r="L1279" s="70" t="s">
        <v>595</v>
      </c>
      <c r="M1279" s="12" t="s">
        <v>918</v>
      </c>
      <c r="N1279" s="26">
        <v>1</v>
      </c>
      <c r="O1279" s="57">
        <v>214286</v>
      </c>
      <c r="P1279" s="62">
        <f t="shared" si="22"/>
        <v>214286</v>
      </c>
      <c r="Q1279" s="6" t="s">
        <v>397</v>
      </c>
      <c r="R1279" s="6" t="s">
        <v>770</v>
      </c>
      <c r="S1279" s="38">
        <v>431000000</v>
      </c>
      <c r="T1279" s="6">
        <v>100</v>
      </c>
    </row>
    <row r="1280" spans="1:20" ht="51" outlineLevel="1">
      <c r="B1280" s="6">
        <v>1264</v>
      </c>
      <c r="C1280" s="36" t="s">
        <v>714</v>
      </c>
      <c r="D1280" s="43" t="s">
        <v>601</v>
      </c>
      <c r="E1280" s="11" t="s">
        <v>548</v>
      </c>
      <c r="F1280" s="70" t="s">
        <v>1017</v>
      </c>
      <c r="G1280" s="70" t="s">
        <v>1018</v>
      </c>
      <c r="H1280" s="70" t="s">
        <v>1019</v>
      </c>
      <c r="I1280" s="70" t="s">
        <v>549</v>
      </c>
      <c r="J1280" s="70" t="s">
        <v>1017</v>
      </c>
      <c r="K1280" s="70" t="s">
        <v>67</v>
      </c>
      <c r="L1280" s="70" t="s">
        <v>595</v>
      </c>
      <c r="M1280" s="12" t="s">
        <v>918</v>
      </c>
      <c r="N1280" s="65">
        <v>1</v>
      </c>
      <c r="O1280" s="57">
        <v>53571</v>
      </c>
      <c r="P1280" s="62">
        <f t="shared" si="22"/>
        <v>53571</v>
      </c>
      <c r="Q1280" s="6" t="s">
        <v>397</v>
      </c>
      <c r="R1280" s="6" t="s">
        <v>770</v>
      </c>
      <c r="S1280" s="38" t="s">
        <v>719</v>
      </c>
      <c r="T1280" s="6">
        <v>100</v>
      </c>
    </row>
    <row r="1281" spans="1:20" s="39" customFormat="1" ht="60.75" customHeight="1">
      <c r="B1281" s="6">
        <v>1265</v>
      </c>
      <c r="C1281" s="36" t="s">
        <v>714</v>
      </c>
      <c r="D1281" s="43" t="s">
        <v>601</v>
      </c>
      <c r="E1281" s="11" t="s">
        <v>548</v>
      </c>
      <c r="F1281" s="70" t="s">
        <v>1017</v>
      </c>
      <c r="G1281" s="70" t="s">
        <v>1018</v>
      </c>
      <c r="H1281" s="70" t="s">
        <v>1019</v>
      </c>
      <c r="I1281" s="70" t="s">
        <v>549</v>
      </c>
      <c r="J1281" s="70" t="s">
        <v>1017</v>
      </c>
      <c r="K1281" s="70" t="s">
        <v>67</v>
      </c>
      <c r="L1281" s="70" t="s">
        <v>595</v>
      </c>
      <c r="M1281" s="12" t="s">
        <v>918</v>
      </c>
      <c r="N1281" s="26">
        <v>1</v>
      </c>
      <c r="O1281" s="57">
        <v>107143</v>
      </c>
      <c r="P1281" s="62">
        <f t="shared" ref="P1281:P1344" si="23">N1281*O1281</f>
        <v>107143</v>
      </c>
      <c r="Q1281" s="6" t="s">
        <v>397</v>
      </c>
      <c r="R1281" s="6" t="s">
        <v>770</v>
      </c>
      <c r="S1281" s="38">
        <v>551000000</v>
      </c>
      <c r="T1281" s="6">
        <v>100</v>
      </c>
    </row>
    <row r="1282" spans="1:20" ht="51" outlineLevel="1">
      <c r="B1282" s="6">
        <v>1266</v>
      </c>
      <c r="C1282" s="36" t="s">
        <v>714</v>
      </c>
      <c r="D1282" s="43" t="s">
        <v>601</v>
      </c>
      <c r="E1282" s="11" t="s">
        <v>548</v>
      </c>
      <c r="F1282" s="70" t="s">
        <v>1017</v>
      </c>
      <c r="G1282" s="70" t="s">
        <v>1018</v>
      </c>
      <c r="H1282" s="70" t="s">
        <v>1019</v>
      </c>
      <c r="I1282" s="70" t="s">
        <v>549</v>
      </c>
      <c r="J1282" s="70" t="s">
        <v>1017</v>
      </c>
      <c r="K1282" s="70" t="s">
        <v>67</v>
      </c>
      <c r="L1282" s="70" t="s">
        <v>595</v>
      </c>
      <c r="M1282" s="12" t="s">
        <v>918</v>
      </c>
      <c r="N1282" s="26">
        <v>1</v>
      </c>
      <c r="O1282" s="57">
        <v>214286</v>
      </c>
      <c r="P1282" s="62">
        <f t="shared" si="23"/>
        <v>214286</v>
      </c>
      <c r="Q1282" s="6" t="s">
        <v>397</v>
      </c>
      <c r="R1282" s="6" t="s">
        <v>770</v>
      </c>
      <c r="S1282" s="38">
        <v>591000000</v>
      </c>
      <c r="T1282" s="6">
        <v>100</v>
      </c>
    </row>
    <row r="1283" spans="1:20" ht="51" outlineLevel="1">
      <c r="B1283" s="6">
        <v>1267</v>
      </c>
      <c r="C1283" s="36" t="s">
        <v>714</v>
      </c>
      <c r="D1283" s="43" t="s">
        <v>601</v>
      </c>
      <c r="E1283" s="11" t="s">
        <v>548</v>
      </c>
      <c r="F1283" s="70" t="s">
        <v>1017</v>
      </c>
      <c r="G1283" s="70" t="s">
        <v>1018</v>
      </c>
      <c r="H1283" s="70" t="s">
        <v>1019</v>
      </c>
      <c r="I1283" s="70" t="s">
        <v>549</v>
      </c>
      <c r="J1283" s="70" t="s">
        <v>1017</v>
      </c>
      <c r="K1283" s="70" t="s">
        <v>67</v>
      </c>
      <c r="L1283" s="70" t="s">
        <v>595</v>
      </c>
      <c r="M1283" s="12" t="s">
        <v>918</v>
      </c>
      <c r="N1283" s="26">
        <v>1</v>
      </c>
      <c r="O1283" s="57">
        <v>89732</v>
      </c>
      <c r="P1283" s="62">
        <f t="shared" si="23"/>
        <v>89732</v>
      </c>
      <c r="Q1283" s="6" t="s">
        <v>395</v>
      </c>
      <c r="R1283" s="6" t="s">
        <v>770</v>
      </c>
      <c r="S1283" s="38" t="s">
        <v>2037</v>
      </c>
      <c r="T1283" s="6">
        <v>100</v>
      </c>
    </row>
    <row r="1284" spans="1:20" ht="51" outlineLevel="1">
      <c r="B1284" s="6">
        <v>1268</v>
      </c>
      <c r="C1284" s="36" t="s">
        <v>714</v>
      </c>
      <c r="D1284" s="43" t="s">
        <v>601</v>
      </c>
      <c r="E1284" s="6" t="s">
        <v>550</v>
      </c>
      <c r="F1284" s="70" t="s">
        <v>1020</v>
      </c>
      <c r="G1284" s="70" t="s">
        <v>68</v>
      </c>
      <c r="H1284" s="70" t="s">
        <v>551</v>
      </c>
      <c r="I1284" s="70" t="s">
        <v>68</v>
      </c>
      <c r="J1284" s="70" t="s">
        <v>551</v>
      </c>
      <c r="K1284" s="70" t="s">
        <v>68</v>
      </c>
      <c r="L1284" s="70" t="s">
        <v>595</v>
      </c>
      <c r="M1284" s="12" t="s">
        <v>918</v>
      </c>
      <c r="N1284" s="26">
        <v>1</v>
      </c>
      <c r="O1284" s="57">
        <v>286607</v>
      </c>
      <c r="P1284" s="62">
        <f t="shared" si="23"/>
        <v>286607</v>
      </c>
      <c r="Q1284" s="6" t="s">
        <v>397</v>
      </c>
      <c r="R1284" s="6" t="s">
        <v>770</v>
      </c>
      <c r="S1284" s="38" t="s">
        <v>2038</v>
      </c>
      <c r="T1284" s="26">
        <v>100</v>
      </c>
    </row>
    <row r="1285" spans="1:20" ht="51" outlineLevel="1">
      <c r="B1285" s="6">
        <v>1269</v>
      </c>
      <c r="C1285" s="16" t="s">
        <v>714</v>
      </c>
      <c r="D1285" s="6" t="s">
        <v>601</v>
      </c>
      <c r="E1285" s="6" t="s">
        <v>550</v>
      </c>
      <c r="F1285" s="70" t="s">
        <v>1020</v>
      </c>
      <c r="G1285" s="70" t="s">
        <v>68</v>
      </c>
      <c r="H1285" s="70" t="s">
        <v>551</v>
      </c>
      <c r="I1285" s="70" t="s">
        <v>68</v>
      </c>
      <c r="J1285" s="70" t="s">
        <v>551</v>
      </c>
      <c r="K1285" s="70" t="s">
        <v>68</v>
      </c>
      <c r="L1285" s="70" t="s">
        <v>595</v>
      </c>
      <c r="M1285" s="12" t="s">
        <v>918</v>
      </c>
      <c r="N1285" s="26">
        <v>1</v>
      </c>
      <c r="O1285" s="57">
        <v>375000</v>
      </c>
      <c r="P1285" s="62">
        <f t="shared" si="23"/>
        <v>375000</v>
      </c>
      <c r="Q1285" s="6" t="s">
        <v>397</v>
      </c>
      <c r="R1285" s="6" t="s">
        <v>770</v>
      </c>
      <c r="S1285" s="38" t="s">
        <v>1025</v>
      </c>
      <c r="T1285" s="6">
        <v>0</v>
      </c>
    </row>
    <row r="1286" spans="1:20" ht="51" outlineLevel="1">
      <c r="B1286" s="6">
        <v>1270</v>
      </c>
      <c r="C1286" s="16" t="s">
        <v>714</v>
      </c>
      <c r="D1286" s="6" t="s">
        <v>601</v>
      </c>
      <c r="E1286" s="6" t="s">
        <v>550</v>
      </c>
      <c r="F1286" s="70" t="s">
        <v>1020</v>
      </c>
      <c r="G1286" s="70" t="s">
        <v>68</v>
      </c>
      <c r="H1286" s="70" t="s">
        <v>551</v>
      </c>
      <c r="I1286" s="70" t="s">
        <v>68</v>
      </c>
      <c r="J1286" s="70" t="s">
        <v>551</v>
      </c>
      <c r="K1286" s="70" t="s">
        <v>68</v>
      </c>
      <c r="L1286" s="70" t="s">
        <v>595</v>
      </c>
      <c r="M1286" s="12" t="s">
        <v>918</v>
      </c>
      <c r="N1286" s="26">
        <v>1</v>
      </c>
      <c r="O1286" s="57">
        <v>214286</v>
      </c>
      <c r="P1286" s="62">
        <f t="shared" si="23"/>
        <v>214286</v>
      </c>
      <c r="Q1286" s="6" t="s">
        <v>397</v>
      </c>
      <c r="R1286" s="6" t="s">
        <v>770</v>
      </c>
      <c r="S1286" s="38" t="s">
        <v>793</v>
      </c>
      <c r="T1286" s="6">
        <v>0</v>
      </c>
    </row>
    <row r="1287" spans="1:20" ht="51" outlineLevel="1">
      <c r="B1287" s="6">
        <v>1271</v>
      </c>
      <c r="C1287" s="16" t="s">
        <v>714</v>
      </c>
      <c r="D1287" s="6" t="s">
        <v>601</v>
      </c>
      <c r="E1287" s="6" t="s">
        <v>550</v>
      </c>
      <c r="F1287" s="70" t="s">
        <v>1020</v>
      </c>
      <c r="G1287" s="70" t="s">
        <v>68</v>
      </c>
      <c r="H1287" s="70" t="s">
        <v>551</v>
      </c>
      <c r="I1287" s="70" t="s">
        <v>68</v>
      </c>
      <c r="J1287" s="70" t="s">
        <v>551</v>
      </c>
      <c r="K1287" s="70" t="s">
        <v>68</v>
      </c>
      <c r="L1287" s="70" t="s">
        <v>595</v>
      </c>
      <c r="M1287" s="12" t="s">
        <v>918</v>
      </c>
      <c r="N1287" s="26">
        <v>1</v>
      </c>
      <c r="O1287" s="57">
        <v>428571</v>
      </c>
      <c r="P1287" s="62">
        <f t="shared" si="23"/>
        <v>428571</v>
      </c>
      <c r="Q1287" s="6" t="s">
        <v>397</v>
      </c>
      <c r="R1287" s="6" t="s">
        <v>770</v>
      </c>
      <c r="S1287" s="38" t="s">
        <v>2030</v>
      </c>
      <c r="T1287" s="26">
        <v>100</v>
      </c>
    </row>
    <row r="1288" spans="1:20" ht="51" outlineLevel="1">
      <c r="A1288" s="61"/>
      <c r="B1288" s="6">
        <v>1272</v>
      </c>
      <c r="C1288" s="16" t="s">
        <v>714</v>
      </c>
      <c r="D1288" s="6" t="s">
        <v>601</v>
      </c>
      <c r="E1288" s="6" t="s">
        <v>550</v>
      </c>
      <c r="F1288" s="70" t="s">
        <v>1020</v>
      </c>
      <c r="G1288" s="70" t="s">
        <v>68</v>
      </c>
      <c r="H1288" s="70" t="s">
        <v>551</v>
      </c>
      <c r="I1288" s="70" t="s">
        <v>68</v>
      </c>
      <c r="J1288" s="70" t="s">
        <v>551</v>
      </c>
      <c r="K1288" s="70" t="s">
        <v>68</v>
      </c>
      <c r="L1288" s="70" t="s">
        <v>595</v>
      </c>
      <c r="M1288" s="12" t="s">
        <v>918</v>
      </c>
      <c r="N1288" s="26">
        <v>1</v>
      </c>
      <c r="O1288" s="57">
        <v>267857</v>
      </c>
      <c r="P1288" s="62">
        <f t="shared" si="23"/>
        <v>267857</v>
      </c>
      <c r="Q1288" s="6" t="s">
        <v>397</v>
      </c>
      <c r="R1288" s="6" t="s">
        <v>770</v>
      </c>
      <c r="S1288" s="38" t="s">
        <v>2035</v>
      </c>
      <c r="T1288" s="6">
        <v>100</v>
      </c>
    </row>
    <row r="1289" spans="1:20" s="14" customFormat="1" ht="51">
      <c r="A1289" s="17"/>
      <c r="B1289" s="6">
        <v>1273</v>
      </c>
      <c r="C1289" s="16" t="s">
        <v>714</v>
      </c>
      <c r="D1289" s="6" t="s">
        <v>601</v>
      </c>
      <c r="E1289" s="6" t="s">
        <v>550</v>
      </c>
      <c r="F1289" s="70" t="s">
        <v>1020</v>
      </c>
      <c r="G1289" s="70" t="s">
        <v>68</v>
      </c>
      <c r="H1289" s="70" t="s">
        <v>551</v>
      </c>
      <c r="I1289" s="70" t="s">
        <v>68</v>
      </c>
      <c r="J1289" s="70" t="s">
        <v>551</v>
      </c>
      <c r="K1289" s="70" t="s">
        <v>68</v>
      </c>
      <c r="L1289" s="70" t="s">
        <v>595</v>
      </c>
      <c r="M1289" s="12" t="s">
        <v>918</v>
      </c>
      <c r="N1289" s="26">
        <v>1</v>
      </c>
      <c r="O1289" s="57">
        <v>214286</v>
      </c>
      <c r="P1289" s="62">
        <f t="shared" si="23"/>
        <v>214286</v>
      </c>
      <c r="Q1289" s="6" t="s">
        <v>397</v>
      </c>
      <c r="R1289" s="6" t="s">
        <v>770</v>
      </c>
      <c r="S1289" s="38" t="s">
        <v>2031</v>
      </c>
      <c r="T1289" s="26">
        <v>100</v>
      </c>
    </row>
    <row r="1290" spans="1:20" ht="51" outlineLevel="1">
      <c r="B1290" s="6">
        <v>1274</v>
      </c>
      <c r="C1290" s="16" t="s">
        <v>714</v>
      </c>
      <c r="D1290" s="6" t="s">
        <v>601</v>
      </c>
      <c r="E1290" s="6" t="s">
        <v>550</v>
      </c>
      <c r="F1290" s="70" t="s">
        <v>1020</v>
      </c>
      <c r="G1290" s="70" t="s">
        <v>68</v>
      </c>
      <c r="H1290" s="70" t="s">
        <v>551</v>
      </c>
      <c r="I1290" s="70" t="s">
        <v>68</v>
      </c>
      <c r="J1290" s="70" t="s">
        <v>551</v>
      </c>
      <c r="K1290" s="70" t="s">
        <v>68</v>
      </c>
      <c r="L1290" s="70" t="s">
        <v>595</v>
      </c>
      <c r="M1290" s="12" t="s">
        <v>918</v>
      </c>
      <c r="N1290" s="26">
        <v>1</v>
      </c>
      <c r="O1290" s="57">
        <v>500000</v>
      </c>
      <c r="P1290" s="62">
        <f t="shared" si="23"/>
        <v>500000</v>
      </c>
      <c r="Q1290" s="6" t="s">
        <v>397</v>
      </c>
      <c r="R1290" s="6" t="s">
        <v>770</v>
      </c>
      <c r="S1290" s="38" t="s">
        <v>637</v>
      </c>
      <c r="T1290" s="26">
        <v>100</v>
      </c>
    </row>
    <row r="1291" spans="1:20" ht="51" outlineLevel="1">
      <c r="B1291" s="6">
        <v>1275</v>
      </c>
      <c r="C1291" s="16" t="s">
        <v>714</v>
      </c>
      <c r="D1291" s="6" t="s">
        <v>601</v>
      </c>
      <c r="E1291" s="6" t="s">
        <v>550</v>
      </c>
      <c r="F1291" s="70" t="s">
        <v>1020</v>
      </c>
      <c r="G1291" s="70" t="s">
        <v>68</v>
      </c>
      <c r="H1291" s="70" t="s">
        <v>551</v>
      </c>
      <c r="I1291" s="70" t="s">
        <v>68</v>
      </c>
      <c r="J1291" s="70" t="s">
        <v>551</v>
      </c>
      <c r="K1291" s="70" t="s">
        <v>68</v>
      </c>
      <c r="L1291" s="70" t="s">
        <v>595</v>
      </c>
      <c r="M1291" s="12" t="s">
        <v>918</v>
      </c>
      <c r="N1291" s="26">
        <v>1</v>
      </c>
      <c r="O1291" s="57">
        <v>75000</v>
      </c>
      <c r="P1291" s="62">
        <f t="shared" si="23"/>
        <v>75000</v>
      </c>
      <c r="Q1291" s="6" t="s">
        <v>397</v>
      </c>
      <c r="R1291" s="6" t="s">
        <v>770</v>
      </c>
      <c r="S1291" s="38">
        <v>311000000</v>
      </c>
      <c r="T1291" s="26">
        <v>100</v>
      </c>
    </row>
    <row r="1292" spans="1:20" ht="51" outlineLevel="1">
      <c r="B1292" s="6">
        <v>1276</v>
      </c>
      <c r="C1292" s="16" t="s">
        <v>714</v>
      </c>
      <c r="D1292" s="6" t="s">
        <v>601</v>
      </c>
      <c r="E1292" s="6" t="s">
        <v>550</v>
      </c>
      <c r="F1292" s="70" t="s">
        <v>1020</v>
      </c>
      <c r="G1292" s="70" t="s">
        <v>68</v>
      </c>
      <c r="H1292" s="70" t="s">
        <v>551</v>
      </c>
      <c r="I1292" s="70" t="s">
        <v>68</v>
      </c>
      <c r="J1292" s="70" t="s">
        <v>551</v>
      </c>
      <c r="K1292" s="70" t="s">
        <v>68</v>
      </c>
      <c r="L1292" s="70" t="s">
        <v>595</v>
      </c>
      <c r="M1292" s="12" t="s">
        <v>918</v>
      </c>
      <c r="N1292" s="26">
        <v>1</v>
      </c>
      <c r="O1292" s="57">
        <v>107143</v>
      </c>
      <c r="P1292" s="62">
        <f t="shared" si="23"/>
        <v>107143</v>
      </c>
      <c r="Q1292" s="6" t="s">
        <v>395</v>
      </c>
      <c r="R1292" s="6" t="s">
        <v>770</v>
      </c>
      <c r="S1292" s="38" t="s">
        <v>2032</v>
      </c>
      <c r="T1292" s="6">
        <v>100</v>
      </c>
    </row>
    <row r="1293" spans="1:20" ht="51" outlineLevel="1">
      <c r="B1293" s="6">
        <v>1277</v>
      </c>
      <c r="C1293" s="16" t="s">
        <v>714</v>
      </c>
      <c r="D1293" s="6" t="s">
        <v>601</v>
      </c>
      <c r="E1293" s="6" t="s">
        <v>550</v>
      </c>
      <c r="F1293" s="70" t="s">
        <v>1020</v>
      </c>
      <c r="G1293" s="70" t="s">
        <v>68</v>
      </c>
      <c r="H1293" s="70" t="s">
        <v>551</v>
      </c>
      <c r="I1293" s="70" t="s">
        <v>68</v>
      </c>
      <c r="J1293" s="70" t="s">
        <v>551</v>
      </c>
      <c r="K1293" s="70" t="s">
        <v>68</v>
      </c>
      <c r="L1293" s="70" t="s">
        <v>595</v>
      </c>
      <c r="M1293" s="12" t="s">
        <v>918</v>
      </c>
      <c r="N1293" s="26">
        <v>1</v>
      </c>
      <c r="O1293" s="57">
        <v>314286</v>
      </c>
      <c r="P1293" s="62">
        <f t="shared" si="23"/>
        <v>314286</v>
      </c>
      <c r="Q1293" s="6" t="s">
        <v>397</v>
      </c>
      <c r="R1293" s="6" t="s">
        <v>770</v>
      </c>
      <c r="S1293" s="38">
        <v>351000000</v>
      </c>
      <c r="T1293" s="6">
        <v>100</v>
      </c>
    </row>
    <row r="1294" spans="1:20" ht="51" outlineLevel="1">
      <c r="B1294" s="6">
        <v>1278</v>
      </c>
      <c r="C1294" s="16" t="s">
        <v>714</v>
      </c>
      <c r="D1294" s="6" t="s">
        <v>601</v>
      </c>
      <c r="E1294" s="6" t="s">
        <v>550</v>
      </c>
      <c r="F1294" s="70" t="s">
        <v>1020</v>
      </c>
      <c r="G1294" s="70" t="s">
        <v>68</v>
      </c>
      <c r="H1294" s="70" t="s">
        <v>551</v>
      </c>
      <c r="I1294" s="70" t="s">
        <v>68</v>
      </c>
      <c r="J1294" s="70" t="s">
        <v>551</v>
      </c>
      <c r="K1294" s="70" t="s">
        <v>68</v>
      </c>
      <c r="L1294" s="70" t="s">
        <v>595</v>
      </c>
      <c r="M1294" s="12" t="s">
        <v>918</v>
      </c>
      <c r="N1294" s="26">
        <v>1</v>
      </c>
      <c r="O1294" s="57">
        <v>214286</v>
      </c>
      <c r="P1294" s="62">
        <f t="shared" si="23"/>
        <v>214286</v>
      </c>
      <c r="Q1294" s="6" t="s">
        <v>397</v>
      </c>
      <c r="R1294" s="6" t="s">
        <v>770</v>
      </c>
      <c r="S1294" s="38" t="s">
        <v>929</v>
      </c>
      <c r="T1294" s="26">
        <v>100</v>
      </c>
    </row>
    <row r="1295" spans="1:20" ht="51" outlineLevel="1">
      <c r="B1295" s="6">
        <v>1279</v>
      </c>
      <c r="C1295" s="16" t="s">
        <v>714</v>
      </c>
      <c r="D1295" s="6" t="s">
        <v>601</v>
      </c>
      <c r="E1295" s="6" t="s">
        <v>550</v>
      </c>
      <c r="F1295" s="70" t="s">
        <v>1020</v>
      </c>
      <c r="G1295" s="70" t="s">
        <v>68</v>
      </c>
      <c r="H1295" s="70" t="s">
        <v>551</v>
      </c>
      <c r="I1295" s="70" t="s">
        <v>68</v>
      </c>
      <c r="J1295" s="70" t="s">
        <v>551</v>
      </c>
      <c r="K1295" s="70" t="s">
        <v>68</v>
      </c>
      <c r="L1295" s="70" t="s">
        <v>595</v>
      </c>
      <c r="M1295" s="12" t="s">
        <v>918</v>
      </c>
      <c r="N1295" s="26">
        <v>1</v>
      </c>
      <c r="O1295" s="57">
        <v>214286</v>
      </c>
      <c r="P1295" s="62">
        <f t="shared" si="23"/>
        <v>214286</v>
      </c>
      <c r="Q1295" s="6" t="s">
        <v>397</v>
      </c>
      <c r="R1295" s="6" t="s">
        <v>770</v>
      </c>
      <c r="S1295" s="38">
        <v>431000000</v>
      </c>
      <c r="T1295" s="26">
        <v>100</v>
      </c>
    </row>
    <row r="1296" spans="1:20" ht="51" outlineLevel="1">
      <c r="B1296" s="6">
        <v>1280</v>
      </c>
      <c r="C1296" s="36" t="s">
        <v>714</v>
      </c>
      <c r="D1296" s="43" t="s">
        <v>601</v>
      </c>
      <c r="E1296" s="6" t="s">
        <v>550</v>
      </c>
      <c r="F1296" s="70" t="s">
        <v>1020</v>
      </c>
      <c r="G1296" s="70" t="s">
        <v>68</v>
      </c>
      <c r="H1296" s="70" t="s">
        <v>551</v>
      </c>
      <c r="I1296" s="70" t="s">
        <v>68</v>
      </c>
      <c r="J1296" s="70" t="s">
        <v>551</v>
      </c>
      <c r="K1296" s="70" t="s">
        <v>68</v>
      </c>
      <c r="L1296" s="70" t="s">
        <v>595</v>
      </c>
      <c r="M1296" s="12" t="s">
        <v>918</v>
      </c>
      <c r="N1296" s="65">
        <v>1</v>
      </c>
      <c r="O1296" s="57">
        <v>375000</v>
      </c>
      <c r="P1296" s="62">
        <f t="shared" si="23"/>
        <v>375000</v>
      </c>
      <c r="Q1296" s="6" t="s">
        <v>397</v>
      </c>
      <c r="R1296" s="6" t="s">
        <v>770</v>
      </c>
      <c r="S1296" s="38" t="s">
        <v>719</v>
      </c>
      <c r="T1296" s="26">
        <v>100</v>
      </c>
    </row>
    <row r="1297" spans="1:20" s="39" customFormat="1" ht="25.5">
      <c r="B1297" s="6">
        <v>1281</v>
      </c>
      <c r="C1297" s="16" t="s">
        <v>714</v>
      </c>
      <c r="D1297" s="6" t="s">
        <v>601</v>
      </c>
      <c r="E1297" s="6" t="s">
        <v>550</v>
      </c>
      <c r="F1297" s="70" t="s">
        <v>1020</v>
      </c>
      <c r="G1297" s="70" t="s">
        <v>68</v>
      </c>
      <c r="H1297" s="70" t="s">
        <v>551</v>
      </c>
      <c r="I1297" s="70" t="s">
        <v>68</v>
      </c>
      <c r="J1297" s="70" t="s">
        <v>551</v>
      </c>
      <c r="K1297" s="70" t="s">
        <v>68</v>
      </c>
      <c r="L1297" s="70" t="s">
        <v>595</v>
      </c>
      <c r="M1297" s="12" t="s">
        <v>918</v>
      </c>
      <c r="N1297" s="26">
        <v>1</v>
      </c>
      <c r="O1297" s="57">
        <v>214286</v>
      </c>
      <c r="P1297" s="62">
        <f t="shared" si="23"/>
        <v>214286</v>
      </c>
      <c r="Q1297" s="6" t="s">
        <v>397</v>
      </c>
      <c r="R1297" s="6" t="s">
        <v>398</v>
      </c>
      <c r="S1297" s="38">
        <v>551000000</v>
      </c>
      <c r="T1297" s="26">
        <v>100</v>
      </c>
    </row>
    <row r="1298" spans="1:20" ht="51" outlineLevel="1">
      <c r="B1298" s="6">
        <v>1282</v>
      </c>
      <c r="C1298" s="16" t="s">
        <v>945</v>
      </c>
      <c r="D1298" s="6" t="s">
        <v>601</v>
      </c>
      <c r="E1298" s="6" t="s">
        <v>550</v>
      </c>
      <c r="F1298" s="70" t="s">
        <v>1020</v>
      </c>
      <c r="G1298" s="70" t="s">
        <v>68</v>
      </c>
      <c r="H1298" s="70" t="s">
        <v>551</v>
      </c>
      <c r="I1298" s="70" t="s">
        <v>68</v>
      </c>
      <c r="J1298" s="70" t="s">
        <v>551</v>
      </c>
      <c r="K1298" s="70" t="s">
        <v>68</v>
      </c>
      <c r="L1298" s="70" t="s">
        <v>595</v>
      </c>
      <c r="M1298" s="12" t="s">
        <v>918</v>
      </c>
      <c r="N1298" s="26">
        <v>1</v>
      </c>
      <c r="O1298" s="57">
        <v>267857</v>
      </c>
      <c r="P1298" s="62">
        <f t="shared" si="23"/>
        <v>267857</v>
      </c>
      <c r="Q1298" s="6" t="s">
        <v>397</v>
      </c>
      <c r="R1298" s="6" t="s">
        <v>770</v>
      </c>
      <c r="S1298" s="38">
        <v>591000000</v>
      </c>
      <c r="T1298" s="26">
        <v>100</v>
      </c>
    </row>
    <row r="1299" spans="1:20" s="45" customFormat="1" ht="51" outlineLevel="1">
      <c r="A1299" s="44"/>
      <c r="B1299" s="6">
        <v>1283</v>
      </c>
      <c r="C1299" s="16" t="s">
        <v>714</v>
      </c>
      <c r="D1299" s="6" t="s">
        <v>601</v>
      </c>
      <c r="E1299" s="6" t="s">
        <v>550</v>
      </c>
      <c r="F1299" s="70" t="s">
        <v>1020</v>
      </c>
      <c r="G1299" s="70" t="s">
        <v>68</v>
      </c>
      <c r="H1299" s="70" t="s">
        <v>551</v>
      </c>
      <c r="I1299" s="70" t="s">
        <v>68</v>
      </c>
      <c r="J1299" s="70" t="s">
        <v>551</v>
      </c>
      <c r="K1299" s="70" t="s">
        <v>68</v>
      </c>
      <c r="L1299" s="70" t="s">
        <v>595</v>
      </c>
      <c r="M1299" s="12" t="s">
        <v>918</v>
      </c>
      <c r="N1299" s="26">
        <v>1</v>
      </c>
      <c r="O1299" s="57">
        <v>99554</v>
      </c>
      <c r="P1299" s="62">
        <f t="shared" si="23"/>
        <v>99554</v>
      </c>
      <c r="Q1299" s="6" t="s">
        <v>395</v>
      </c>
      <c r="R1299" s="6" t="s">
        <v>770</v>
      </c>
      <c r="S1299" s="38" t="s">
        <v>2037</v>
      </c>
      <c r="T1299" s="6">
        <v>100</v>
      </c>
    </row>
    <row r="1300" spans="1:20" ht="38.25" outlineLevel="1">
      <c r="B1300" s="6">
        <v>1284</v>
      </c>
      <c r="C1300" s="16" t="s">
        <v>714</v>
      </c>
      <c r="D1300" s="6" t="s">
        <v>601</v>
      </c>
      <c r="E1300" s="6" t="s">
        <v>552</v>
      </c>
      <c r="F1300" s="70" t="s">
        <v>553</v>
      </c>
      <c r="G1300" s="70" t="s">
        <v>554</v>
      </c>
      <c r="H1300" s="70" t="s">
        <v>553</v>
      </c>
      <c r="I1300" s="70" t="s">
        <v>554</v>
      </c>
      <c r="J1300" s="70" t="s">
        <v>1415</v>
      </c>
      <c r="K1300" s="70" t="s">
        <v>69</v>
      </c>
      <c r="L1300" s="70" t="s">
        <v>595</v>
      </c>
      <c r="M1300" s="12" t="s">
        <v>918</v>
      </c>
      <c r="N1300" s="26">
        <v>1</v>
      </c>
      <c r="O1300" s="57">
        <v>3875000</v>
      </c>
      <c r="P1300" s="62">
        <f t="shared" si="23"/>
        <v>3875000</v>
      </c>
      <c r="Q1300" s="6" t="s">
        <v>397</v>
      </c>
      <c r="R1300" s="6" t="s">
        <v>2397</v>
      </c>
      <c r="S1300" s="38" t="s">
        <v>1179</v>
      </c>
      <c r="T1300" s="26">
        <v>0</v>
      </c>
    </row>
    <row r="1301" spans="1:20" ht="57.75" customHeight="1" outlineLevel="1">
      <c r="B1301" s="6">
        <v>1285</v>
      </c>
      <c r="C1301" s="16" t="s">
        <v>714</v>
      </c>
      <c r="D1301" s="6" t="s">
        <v>601</v>
      </c>
      <c r="E1301" s="6" t="s">
        <v>560</v>
      </c>
      <c r="F1301" s="70" t="s">
        <v>561</v>
      </c>
      <c r="G1301" s="70" t="s">
        <v>562</v>
      </c>
      <c r="H1301" s="70" t="s">
        <v>563</v>
      </c>
      <c r="I1301" s="70" t="s">
        <v>564</v>
      </c>
      <c r="J1301" s="70" t="s">
        <v>1416</v>
      </c>
      <c r="K1301" s="70" t="s">
        <v>70</v>
      </c>
      <c r="L1301" s="70" t="s">
        <v>595</v>
      </c>
      <c r="M1301" s="12" t="s">
        <v>918</v>
      </c>
      <c r="N1301" s="26">
        <v>1</v>
      </c>
      <c r="O1301" s="57">
        <v>187500</v>
      </c>
      <c r="P1301" s="62">
        <f t="shared" si="23"/>
        <v>187500</v>
      </c>
      <c r="Q1301" s="6" t="s">
        <v>397</v>
      </c>
      <c r="R1301" s="6" t="s">
        <v>2397</v>
      </c>
      <c r="S1301" s="38" t="s">
        <v>1179</v>
      </c>
      <c r="T1301" s="26">
        <v>0</v>
      </c>
    </row>
    <row r="1302" spans="1:20" ht="57.75" customHeight="1" outlineLevel="1">
      <c r="B1302" s="6">
        <v>1286</v>
      </c>
      <c r="C1302" s="16" t="s">
        <v>714</v>
      </c>
      <c r="D1302" s="6" t="s">
        <v>601</v>
      </c>
      <c r="E1302" s="6" t="s">
        <v>555</v>
      </c>
      <c r="F1302" s="70" t="s">
        <v>556</v>
      </c>
      <c r="G1302" s="70" t="s">
        <v>557</v>
      </c>
      <c r="H1302" s="70" t="s">
        <v>558</v>
      </c>
      <c r="I1302" s="70" t="s">
        <v>559</v>
      </c>
      <c r="J1302" s="70" t="s">
        <v>1417</v>
      </c>
      <c r="K1302" s="70" t="s">
        <v>71</v>
      </c>
      <c r="L1302" s="70" t="s">
        <v>595</v>
      </c>
      <c r="M1302" s="12" t="s">
        <v>918</v>
      </c>
      <c r="N1302" s="26">
        <v>1</v>
      </c>
      <c r="O1302" s="57">
        <v>7070742</v>
      </c>
      <c r="P1302" s="62">
        <f t="shared" si="23"/>
        <v>7070742</v>
      </c>
      <c r="Q1302" s="6" t="s">
        <v>397</v>
      </c>
      <c r="R1302" s="6" t="s">
        <v>2397</v>
      </c>
      <c r="S1302" s="38" t="s">
        <v>1179</v>
      </c>
      <c r="T1302" s="26">
        <v>0</v>
      </c>
    </row>
    <row r="1303" spans="1:20" ht="76.5" outlineLevel="1">
      <c r="B1303" s="6">
        <v>1287</v>
      </c>
      <c r="C1303" s="16" t="s">
        <v>714</v>
      </c>
      <c r="D1303" s="6" t="s">
        <v>601</v>
      </c>
      <c r="E1303" s="6" t="s">
        <v>872</v>
      </c>
      <c r="F1303" s="70" t="s">
        <v>1881</v>
      </c>
      <c r="G1303" s="70" t="s">
        <v>873</v>
      </c>
      <c r="H1303" s="70" t="s">
        <v>1882</v>
      </c>
      <c r="I1303" s="70" t="s">
        <v>874</v>
      </c>
      <c r="J1303" s="70" t="s">
        <v>1880</v>
      </c>
      <c r="K1303" s="70" t="s">
        <v>72</v>
      </c>
      <c r="L1303" s="70" t="s">
        <v>595</v>
      </c>
      <c r="M1303" s="12" t="s">
        <v>918</v>
      </c>
      <c r="N1303" s="26">
        <v>1</v>
      </c>
      <c r="O1303" s="57">
        <v>1053429</v>
      </c>
      <c r="P1303" s="62">
        <f t="shared" si="23"/>
        <v>1053429</v>
      </c>
      <c r="Q1303" s="6" t="s">
        <v>397</v>
      </c>
      <c r="R1303" s="6" t="s">
        <v>2397</v>
      </c>
      <c r="S1303" s="38" t="s">
        <v>1179</v>
      </c>
      <c r="T1303" s="26">
        <v>0</v>
      </c>
    </row>
    <row r="1304" spans="1:20" s="48" customFormat="1" ht="51" outlineLevel="1">
      <c r="A1304" s="4"/>
      <c r="B1304" s="6">
        <v>1288</v>
      </c>
      <c r="C1304" s="16" t="s">
        <v>714</v>
      </c>
      <c r="D1304" s="6" t="s">
        <v>601</v>
      </c>
      <c r="E1304" s="6" t="s">
        <v>565</v>
      </c>
      <c r="F1304" s="70" t="s">
        <v>566</v>
      </c>
      <c r="G1304" s="70" t="s">
        <v>567</v>
      </c>
      <c r="H1304" s="70" t="s">
        <v>568</v>
      </c>
      <c r="I1304" s="70" t="s">
        <v>569</v>
      </c>
      <c r="J1304" s="70" t="s">
        <v>566</v>
      </c>
      <c r="K1304" s="70" t="s">
        <v>73</v>
      </c>
      <c r="L1304" s="70" t="s">
        <v>595</v>
      </c>
      <c r="M1304" s="12" t="s">
        <v>918</v>
      </c>
      <c r="N1304" s="26">
        <v>1</v>
      </c>
      <c r="O1304" s="57">
        <v>810000</v>
      </c>
      <c r="P1304" s="62">
        <f t="shared" si="23"/>
        <v>810000</v>
      </c>
      <c r="Q1304" s="6" t="s">
        <v>397</v>
      </c>
      <c r="R1304" s="6" t="s">
        <v>2397</v>
      </c>
      <c r="S1304" s="38" t="s">
        <v>1179</v>
      </c>
      <c r="T1304" s="26">
        <v>0</v>
      </c>
    </row>
    <row r="1305" spans="1:20" ht="51" outlineLevel="1">
      <c r="B1305" s="6">
        <v>1289</v>
      </c>
      <c r="C1305" s="36" t="s">
        <v>714</v>
      </c>
      <c r="D1305" s="43" t="s">
        <v>601</v>
      </c>
      <c r="E1305" s="6" t="s">
        <v>552</v>
      </c>
      <c r="F1305" s="70" t="s">
        <v>553</v>
      </c>
      <c r="G1305" s="70" t="s">
        <v>554</v>
      </c>
      <c r="H1305" s="70" t="s">
        <v>553</v>
      </c>
      <c r="I1305" s="70" t="s">
        <v>554</v>
      </c>
      <c r="J1305" s="70" t="s">
        <v>1415</v>
      </c>
      <c r="K1305" s="70" t="s">
        <v>69</v>
      </c>
      <c r="L1305" s="70" t="s">
        <v>595</v>
      </c>
      <c r="M1305" s="12" t="s">
        <v>918</v>
      </c>
      <c r="N1305" s="26">
        <v>1</v>
      </c>
      <c r="O1305" s="57">
        <v>957191</v>
      </c>
      <c r="P1305" s="62">
        <f t="shared" si="23"/>
        <v>957191</v>
      </c>
      <c r="Q1305" s="6" t="s">
        <v>397</v>
      </c>
      <c r="R1305" s="6" t="s">
        <v>770</v>
      </c>
      <c r="S1305" s="38" t="s">
        <v>2038</v>
      </c>
      <c r="T1305" s="26">
        <v>0</v>
      </c>
    </row>
    <row r="1306" spans="1:20" ht="63.75" outlineLevel="1">
      <c r="B1306" s="6">
        <v>1290</v>
      </c>
      <c r="C1306" s="36" t="s">
        <v>714</v>
      </c>
      <c r="D1306" s="43" t="s">
        <v>601</v>
      </c>
      <c r="E1306" s="6" t="s">
        <v>555</v>
      </c>
      <c r="F1306" s="70" t="s">
        <v>556</v>
      </c>
      <c r="G1306" s="70" t="s">
        <v>557</v>
      </c>
      <c r="H1306" s="70" t="s">
        <v>558</v>
      </c>
      <c r="I1306" s="70" t="s">
        <v>559</v>
      </c>
      <c r="J1306" s="70" t="s">
        <v>1417</v>
      </c>
      <c r="K1306" s="70" t="s">
        <v>71</v>
      </c>
      <c r="L1306" s="70" t="s">
        <v>595</v>
      </c>
      <c r="M1306" s="12" t="s">
        <v>918</v>
      </c>
      <c r="N1306" s="26">
        <v>1</v>
      </c>
      <c r="O1306" s="57">
        <v>1634002</v>
      </c>
      <c r="P1306" s="62">
        <f t="shared" si="23"/>
        <v>1634002</v>
      </c>
      <c r="Q1306" s="6" t="s">
        <v>397</v>
      </c>
      <c r="R1306" s="6" t="s">
        <v>770</v>
      </c>
      <c r="S1306" s="38" t="s">
        <v>2038</v>
      </c>
      <c r="T1306" s="26">
        <v>0</v>
      </c>
    </row>
    <row r="1307" spans="1:20" ht="76.5" outlineLevel="1">
      <c r="B1307" s="6">
        <v>1291</v>
      </c>
      <c r="C1307" s="36" t="s">
        <v>714</v>
      </c>
      <c r="D1307" s="43" t="s">
        <v>601</v>
      </c>
      <c r="E1307" s="12" t="s">
        <v>872</v>
      </c>
      <c r="F1307" s="70" t="s">
        <v>1881</v>
      </c>
      <c r="G1307" s="70" t="s">
        <v>873</v>
      </c>
      <c r="H1307" s="70" t="s">
        <v>1882</v>
      </c>
      <c r="I1307" s="70" t="s">
        <v>874</v>
      </c>
      <c r="J1307" s="70" t="s">
        <v>1880</v>
      </c>
      <c r="K1307" s="70" t="s">
        <v>72</v>
      </c>
      <c r="L1307" s="70" t="s">
        <v>595</v>
      </c>
      <c r="M1307" s="12" t="s">
        <v>918</v>
      </c>
      <c r="N1307" s="26">
        <v>1</v>
      </c>
      <c r="O1307" s="57">
        <v>186107</v>
      </c>
      <c r="P1307" s="62">
        <f t="shared" si="23"/>
        <v>186107</v>
      </c>
      <c r="Q1307" s="6" t="s">
        <v>397</v>
      </c>
      <c r="R1307" s="6" t="s">
        <v>770</v>
      </c>
      <c r="S1307" s="38" t="s">
        <v>2038</v>
      </c>
      <c r="T1307" s="26">
        <v>0</v>
      </c>
    </row>
    <row r="1308" spans="1:20" ht="51" outlineLevel="1">
      <c r="B1308" s="6">
        <v>1292</v>
      </c>
      <c r="C1308" s="36" t="s">
        <v>714</v>
      </c>
      <c r="D1308" s="43" t="s">
        <v>601</v>
      </c>
      <c r="E1308" s="6" t="s">
        <v>565</v>
      </c>
      <c r="F1308" s="70" t="s">
        <v>566</v>
      </c>
      <c r="G1308" s="70" t="s">
        <v>567</v>
      </c>
      <c r="H1308" s="70" t="s">
        <v>568</v>
      </c>
      <c r="I1308" s="70" t="s">
        <v>569</v>
      </c>
      <c r="J1308" s="70" t="s">
        <v>566</v>
      </c>
      <c r="K1308" s="70" t="s">
        <v>73</v>
      </c>
      <c r="L1308" s="70" t="s">
        <v>595</v>
      </c>
      <c r="M1308" s="12" t="s">
        <v>918</v>
      </c>
      <c r="N1308" s="26">
        <v>1</v>
      </c>
      <c r="O1308" s="57">
        <v>178843</v>
      </c>
      <c r="P1308" s="62">
        <f t="shared" si="23"/>
        <v>178843</v>
      </c>
      <c r="Q1308" s="6" t="s">
        <v>397</v>
      </c>
      <c r="R1308" s="6" t="s">
        <v>770</v>
      </c>
      <c r="S1308" s="38" t="s">
        <v>2038</v>
      </c>
      <c r="T1308" s="26">
        <v>0</v>
      </c>
    </row>
    <row r="1309" spans="1:20" ht="51" outlineLevel="1">
      <c r="B1309" s="6">
        <v>1293</v>
      </c>
      <c r="C1309" s="16" t="s">
        <v>714</v>
      </c>
      <c r="D1309" s="6" t="s">
        <v>601</v>
      </c>
      <c r="E1309" s="6" t="s">
        <v>552</v>
      </c>
      <c r="F1309" s="70" t="s">
        <v>553</v>
      </c>
      <c r="G1309" s="70" t="s">
        <v>554</v>
      </c>
      <c r="H1309" s="70" t="s">
        <v>553</v>
      </c>
      <c r="I1309" s="70" t="s">
        <v>554</v>
      </c>
      <c r="J1309" s="70" t="s">
        <v>1415</v>
      </c>
      <c r="K1309" s="70" t="s">
        <v>69</v>
      </c>
      <c r="L1309" s="70" t="s">
        <v>595</v>
      </c>
      <c r="M1309" s="12" t="s">
        <v>918</v>
      </c>
      <c r="N1309" s="26">
        <v>1</v>
      </c>
      <c r="O1309" s="57">
        <v>1141857</v>
      </c>
      <c r="P1309" s="62">
        <f t="shared" si="23"/>
        <v>1141857</v>
      </c>
      <c r="Q1309" s="6" t="s">
        <v>397</v>
      </c>
      <c r="R1309" s="6" t="s">
        <v>770</v>
      </c>
      <c r="S1309" s="38" t="s">
        <v>1025</v>
      </c>
      <c r="T1309" s="6">
        <v>0</v>
      </c>
    </row>
    <row r="1310" spans="1:20" ht="63.75" outlineLevel="1">
      <c r="B1310" s="6">
        <v>1294</v>
      </c>
      <c r="C1310" s="16" t="s">
        <v>714</v>
      </c>
      <c r="D1310" s="6" t="s">
        <v>601</v>
      </c>
      <c r="E1310" s="6" t="s">
        <v>555</v>
      </c>
      <c r="F1310" s="70" t="s">
        <v>556</v>
      </c>
      <c r="G1310" s="70" t="s">
        <v>557</v>
      </c>
      <c r="H1310" s="70" t="s">
        <v>558</v>
      </c>
      <c r="I1310" s="70" t="s">
        <v>559</v>
      </c>
      <c r="J1310" s="70" t="s">
        <v>1417</v>
      </c>
      <c r="K1310" s="70" t="s">
        <v>71</v>
      </c>
      <c r="L1310" s="70" t="s">
        <v>595</v>
      </c>
      <c r="M1310" s="12" t="s">
        <v>918</v>
      </c>
      <c r="N1310" s="26">
        <v>1</v>
      </c>
      <c r="O1310" s="57">
        <v>1369693</v>
      </c>
      <c r="P1310" s="62">
        <f t="shared" si="23"/>
        <v>1369693</v>
      </c>
      <c r="Q1310" s="6" t="s">
        <v>397</v>
      </c>
      <c r="R1310" s="6" t="s">
        <v>770</v>
      </c>
      <c r="S1310" s="38" t="s">
        <v>1025</v>
      </c>
      <c r="T1310" s="6">
        <v>0</v>
      </c>
    </row>
    <row r="1311" spans="1:20" ht="76.5" outlineLevel="1">
      <c r="B1311" s="6">
        <v>1295</v>
      </c>
      <c r="C1311" s="16" t="s">
        <v>714</v>
      </c>
      <c r="D1311" s="6" t="s">
        <v>601</v>
      </c>
      <c r="E1311" s="6" t="s">
        <v>872</v>
      </c>
      <c r="F1311" s="70" t="s">
        <v>1881</v>
      </c>
      <c r="G1311" s="70" t="s">
        <v>873</v>
      </c>
      <c r="H1311" s="70" t="s">
        <v>1882</v>
      </c>
      <c r="I1311" s="70" t="s">
        <v>874</v>
      </c>
      <c r="J1311" s="70" t="s">
        <v>1880</v>
      </c>
      <c r="K1311" s="70" t="s">
        <v>72</v>
      </c>
      <c r="L1311" s="70" t="s">
        <v>595</v>
      </c>
      <c r="M1311" s="12" t="s">
        <v>918</v>
      </c>
      <c r="N1311" s="26">
        <v>1</v>
      </c>
      <c r="O1311" s="57">
        <v>146990</v>
      </c>
      <c r="P1311" s="62">
        <f t="shared" si="23"/>
        <v>146990</v>
      </c>
      <c r="Q1311" s="6" t="s">
        <v>397</v>
      </c>
      <c r="R1311" s="6" t="s">
        <v>770</v>
      </c>
      <c r="S1311" s="38" t="s">
        <v>1025</v>
      </c>
      <c r="T1311" s="6">
        <v>0</v>
      </c>
    </row>
    <row r="1312" spans="1:20" ht="51" outlineLevel="1">
      <c r="B1312" s="6">
        <v>1296</v>
      </c>
      <c r="C1312" s="16" t="s">
        <v>714</v>
      </c>
      <c r="D1312" s="6" t="s">
        <v>601</v>
      </c>
      <c r="E1312" s="6" t="s">
        <v>565</v>
      </c>
      <c r="F1312" s="70" t="s">
        <v>566</v>
      </c>
      <c r="G1312" s="70" t="s">
        <v>567</v>
      </c>
      <c r="H1312" s="70" t="s">
        <v>568</v>
      </c>
      <c r="I1312" s="70" t="s">
        <v>569</v>
      </c>
      <c r="J1312" s="70" t="s">
        <v>566</v>
      </c>
      <c r="K1312" s="70" t="s">
        <v>73</v>
      </c>
      <c r="L1312" s="70" t="s">
        <v>595</v>
      </c>
      <c r="M1312" s="12" t="s">
        <v>918</v>
      </c>
      <c r="N1312" s="26">
        <v>1</v>
      </c>
      <c r="O1312" s="57">
        <v>385714</v>
      </c>
      <c r="P1312" s="62">
        <f t="shared" si="23"/>
        <v>385714</v>
      </c>
      <c r="Q1312" s="6" t="s">
        <v>397</v>
      </c>
      <c r="R1312" s="6" t="s">
        <v>770</v>
      </c>
      <c r="S1312" s="38" t="s">
        <v>1025</v>
      </c>
      <c r="T1312" s="6">
        <v>0</v>
      </c>
    </row>
    <row r="1313" spans="2:20" ht="51" outlineLevel="1">
      <c r="B1313" s="6">
        <v>1297</v>
      </c>
      <c r="C1313" s="16" t="s">
        <v>714</v>
      </c>
      <c r="D1313" s="6" t="s">
        <v>601</v>
      </c>
      <c r="E1313" s="6" t="s">
        <v>552</v>
      </c>
      <c r="F1313" s="70" t="s">
        <v>553</v>
      </c>
      <c r="G1313" s="70" t="s">
        <v>554</v>
      </c>
      <c r="H1313" s="70" t="s">
        <v>553</v>
      </c>
      <c r="I1313" s="70" t="s">
        <v>554</v>
      </c>
      <c r="J1313" s="70" t="s">
        <v>1415</v>
      </c>
      <c r="K1313" s="70" t="s">
        <v>69</v>
      </c>
      <c r="L1313" s="70" t="s">
        <v>595</v>
      </c>
      <c r="M1313" s="12" t="s">
        <v>918</v>
      </c>
      <c r="N1313" s="26">
        <v>1</v>
      </c>
      <c r="O1313" s="57">
        <v>396481</v>
      </c>
      <c r="P1313" s="62">
        <f t="shared" si="23"/>
        <v>396481</v>
      </c>
      <c r="Q1313" s="6" t="s">
        <v>397</v>
      </c>
      <c r="R1313" s="6" t="s">
        <v>770</v>
      </c>
      <c r="S1313" s="38" t="s">
        <v>793</v>
      </c>
      <c r="T1313" s="6">
        <v>0</v>
      </c>
    </row>
    <row r="1314" spans="2:20" ht="76.5" outlineLevel="1">
      <c r="B1314" s="6">
        <v>1298</v>
      </c>
      <c r="C1314" s="16" t="s">
        <v>714</v>
      </c>
      <c r="D1314" s="6" t="s">
        <v>601</v>
      </c>
      <c r="E1314" s="6" t="s">
        <v>560</v>
      </c>
      <c r="F1314" s="70" t="s">
        <v>561</v>
      </c>
      <c r="G1314" s="70" t="s">
        <v>562</v>
      </c>
      <c r="H1314" s="70" t="s">
        <v>563</v>
      </c>
      <c r="I1314" s="70" t="s">
        <v>564</v>
      </c>
      <c r="J1314" s="70" t="s">
        <v>1416</v>
      </c>
      <c r="K1314" s="70" t="s">
        <v>70</v>
      </c>
      <c r="L1314" s="70" t="s">
        <v>595</v>
      </c>
      <c r="M1314" s="12" t="s">
        <v>918</v>
      </c>
      <c r="N1314" s="26">
        <v>1</v>
      </c>
      <c r="O1314" s="57">
        <v>556463</v>
      </c>
      <c r="P1314" s="62">
        <f t="shared" si="23"/>
        <v>556463</v>
      </c>
      <c r="Q1314" s="6" t="s">
        <v>397</v>
      </c>
      <c r="R1314" s="6" t="s">
        <v>770</v>
      </c>
      <c r="S1314" s="38" t="s">
        <v>793</v>
      </c>
      <c r="T1314" s="6">
        <v>0</v>
      </c>
    </row>
    <row r="1315" spans="2:20" ht="63.75" outlineLevel="1">
      <c r="B1315" s="6">
        <v>1299</v>
      </c>
      <c r="C1315" s="16" t="s">
        <v>714</v>
      </c>
      <c r="D1315" s="6" t="s">
        <v>601</v>
      </c>
      <c r="E1315" s="6" t="s">
        <v>555</v>
      </c>
      <c r="F1315" s="70" t="s">
        <v>556</v>
      </c>
      <c r="G1315" s="70" t="s">
        <v>557</v>
      </c>
      <c r="H1315" s="70" t="s">
        <v>558</v>
      </c>
      <c r="I1315" s="70" t="s">
        <v>559</v>
      </c>
      <c r="J1315" s="70" t="s">
        <v>1417</v>
      </c>
      <c r="K1315" s="70" t="s">
        <v>71</v>
      </c>
      <c r="L1315" s="70" t="s">
        <v>595</v>
      </c>
      <c r="M1315" s="12" t="s">
        <v>918</v>
      </c>
      <c r="N1315" s="26">
        <v>1</v>
      </c>
      <c r="O1315" s="57">
        <v>1093929</v>
      </c>
      <c r="P1315" s="62">
        <f t="shared" si="23"/>
        <v>1093929</v>
      </c>
      <c r="Q1315" s="6" t="s">
        <v>395</v>
      </c>
      <c r="R1315" s="6" t="s">
        <v>770</v>
      </c>
      <c r="S1315" s="38" t="s">
        <v>793</v>
      </c>
      <c r="T1315" s="6">
        <v>0</v>
      </c>
    </row>
    <row r="1316" spans="2:20" ht="76.5" outlineLevel="1">
      <c r="B1316" s="6">
        <v>1300</v>
      </c>
      <c r="C1316" s="16" t="s">
        <v>714</v>
      </c>
      <c r="D1316" s="6" t="s">
        <v>601</v>
      </c>
      <c r="E1316" s="6" t="s">
        <v>872</v>
      </c>
      <c r="F1316" s="70" t="s">
        <v>1881</v>
      </c>
      <c r="G1316" s="70" t="s">
        <v>873</v>
      </c>
      <c r="H1316" s="70" t="s">
        <v>1882</v>
      </c>
      <c r="I1316" s="70" t="s">
        <v>874</v>
      </c>
      <c r="J1316" s="70" t="s">
        <v>1880</v>
      </c>
      <c r="K1316" s="70" t="s">
        <v>72</v>
      </c>
      <c r="L1316" s="70" t="s">
        <v>595</v>
      </c>
      <c r="M1316" s="12" t="s">
        <v>918</v>
      </c>
      <c r="N1316" s="26">
        <v>1</v>
      </c>
      <c r="O1316" s="57">
        <v>465267</v>
      </c>
      <c r="P1316" s="62">
        <f t="shared" si="23"/>
        <v>465267</v>
      </c>
      <c r="Q1316" s="6" t="s">
        <v>395</v>
      </c>
      <c r="R1316" s="6" t="s">
        <v>770</v>
      </c>
      <c r="S1316" s="38" t="s">
        <v>793</v>
      </c>
      <c r="T1316" s="6">
        <v>0</v>
      </c>
    </row>
    <row r="1317" spans="2:20" ht="51" outlineLevel="1">
      <c r="B1317" s="6">
        <v>1301</v>
      </c>
      <c r="C1317" s="16" t="s">
        <v>714</v>
      </c>
      <c r="D1317" s="6" t="s">
        <v>601</v>
      </c>
      <c r="E1317" s="6" t="s">
        <v>565</v>
      </c>
      <c r="F1317" s="70" t="s">
        <v>566</v>
      </c>
      <c r="G1317" s="70" t="s">
        <v>567</v>
      </c>
      <c r="H1317" s="70" t="s">
        <v>568</v>
      </c>
      <c r="I1317" s="70" t="s">
        <v>569</v>
      </c>
      <c r="J1317" s="70" t="s">
        <v>566</v>
      </c>
      <c r="K1317" s="70" t="s">
        <v>73</v>
      </c>
      <c r="L1317" s="70" t="s">
        <v>595</v>
      </c>
      <c r="M1317" s="12" t="s">
        <v>918</v>
      </c>
      <c r="N1317" s="26">
        <v>1</v>
      </c>
      <c r="O1317" s="57">
        <v>128571</v>
      </c>
      <c r="P1317" s="62">
        <f t="shared" si="23"/>
        <v>128571</v>
      </c>
      <c r="Q1317" s="6" t="s">
        <v>395</v>
      </c>
      <c r="R1317" s="6" t="s">
        <v>770</v>
      </c>
      <c r="S1317" s="38" t="s">
        <v>793</v>
      </c>
      <c r="T1317" s="6">
        <v>0</v>
      </c>
    </row>
    <row r="1318" spans="2:20" ht="51" outlineLevel="1">
      <c r="B1318" s="6">
        <v>1302</v>
      </c>
      <c r="C1318" s="16" t="s">
        <v>714</v>
      </c>
      <c r="D1318" s="6" t="s">
        <v>601</v>
      </c>
      <c r="E1318" s="6" t="s">
        <v>552</v>
      </c>
      <c r="F1318" s="70" t="s">
        <v>553</v>
      </c>
      <c r="G1318" s="70" t="s">
        <v>554</v>
      </c>
      <c r="H1318" s="70" t="s">
        <v>553</v>
      </c>
      <c r="I1318" s="70" t="s">
        <v>554</v>
      </c>
      <c r="J1318" s="70" t="s">
        <v>1415</v>
      </c>
      <c r="K1318" s="70" t="s">
        <v>69</v>
      </c>
      <c r="L1318" s="70" t="s">
        <v>595</v>
      </c>
      <c r="M1318" s="12" t="s">
        <v>918</v>
      </c>
      <c r="N1318" s="26">
        <v>1</v>
      </c>
      <c r="O1318" s="57">
        <v>1598114</v>
      </c>
      <c r="P1318" s="62">
        <f t="shared" si="23"/>
        <v>1598114</v>
      </c>
      <c r="Q1318" s="6" t="s">
        <v>397</v>
      </c>
      <c r="R1318" s="6" t="s">
        <v>770</v>
      </c>
      <c r="S1318" s="38" t="s">
        <v>637</v>
      </c>
      <c r="T1318" s="26">
        <v>100</v>
      </c>
    </row>
    <row r="1319" spans="2:20" ht="76.5" outlineLevel="1">
      <c r="B1319" s="6">
        <v>1303</v>
      </c>
      <c r="C1319" s="16" t="s">
        <v>714</v>
      </c>
      <c r="D1319" s="6" t="s">
        <v>601</v>
      </c>
      <c r="E1319" s="6" t="s">
        <v>560</v>
      </c>
      <c r="F1319" s="70" t="s">
        <v>561</v>
      </c>
      <c r="G1319" s="70" t="s">
        <v>562</v>
      </c>
      <c r="H1319" s="70" t="s">
        <v>563</v>
      </c>
      <c r="I1319" s="70" t="s">
        <v>564</v>
      </c>
      <c r="J1319" s="70" t="s">
        <v>1416</v>
      </c>
      <c r="K1319" s="70" t="s">
        <v>70</v>
      </c>
      <c r="L1319" s="70" t="s">
        <v>595</v>
      </c>
      <c r="M1319" s="12" t="s">
        <v>918</v>
      </c>
      <c r="N1319" s="26">
        <v>1</v>
      </c>
      <c r="O1319" s="57">
        <v>59800</v>
      </c>
      <c r="P1319" s="62">
        <f t="shared" si="23"/>
        <v>59800</v>
      </c>
      <c r="Q1319" s="6" t="s">
        <v>397</v>
      </c>
      <c r="R1319" s="6" t="s">
        <v>770</v>
      </c>
      <c r="S1319" s="38" t="s">
        <v>637</v>
      </c>
      <c r="T1319" s="26">
        <v>100</v>
      </c>
    </row>
    <row r="1320" spans="2:20" ht="63.75" outlineLevel="1">
      <c r="B1320" s="6">
        <v>1304</v>
      </c>
      <c r="C1320" s="16" t="s">
        <v>714</v>
      </c>
      <c r="D1320" s="6" t="s">
        <v>601</v>
      </c>
      <c r="E1320" s="6" t="s">
        <v>555</v>
      </c>
      <c r="F1320" s="70" t="s">
        <v>556</v>
      </c>
      <c r="G1320" s="70" t="s">
        <v>557</v>
      </c>
      <c r="H1320" s="70" t="s">
        <v>558</v>
      </c>
      <c r="I1320" s="70" t="s">
        <v>559</v>
      </c>
      <c r="J1320" s="70" t="s">
        <v>1417</v>
      </c>
      <c r="K1320" s="70" t="s">
        <v>71</v>
      </c>
      <c r="L1320" s="70" t="s">
        <v>595</v>
      </c>
      <c r="M1320" s="12" t="s">
        <v>918</v>
      </c>
      <c r="N1320" s="26">
        <v>1</v>
      </c>
      <c r="O1320" s="57">
        <v>488893</v>
      </c>
      <c r="P1320" s="62">
        <f t="shared" si="23"/>
        <v>488893</v>
      </c>
      <c r="Q1320" s="6" t="s">
        <v>397</v>
      </c>
      <c r="R1320" s="6" t="s">
        <v>770</v>
      </c>
      <c r="S1320" s="38" t="s">
        <v>637</v>
      </c>
      <c r="T1320" s="26">
        <v>100</v>
      </c>
    </row>
    <row r="1321" spans="2:20" ht="76.5" outlineLevel="1">
      <c r="B1321" s="6">
        <v>1305</v>
      </c>
      <c r="C1321" s="16" t="s">
        <v>714</v>
      </c>
      <c r="D1321" s="6" t="s">
        <v>601</v>
      </c>
      <c r="E1321" s="6" t="s">
        <v>872</v>
      </c>
      <c r="F1321" s="70" t="s">
        <v>1881</v>
      </c>
      <c r="G1321" s="70" t="s">
        <v>873</v>
      </c>
      <c r="H1321" s="70" t="s">
        <v>1882</v>
      </c>
      <c r="I1321" s="70" t="s">
        <v>874</v>
      </c>
      <c r="J1321" s="70" t="s">
        <v>1880</v>
      </c>
      <c r="K1321" s="70" t="s">
        <v>72</v>
      </c>
      <c r="L1321" s="70" t="s">
        <v>595</v>
      </c>
      <c r="M1321" s="12" t="s">
        <v>918</v>
      </c>
      <c r="N1321" s="26">
        <v>1</v>
      </c>
      <c r="O1321" s="57">
        <v>503440</v>
      </c>
      <c r="P1321" s="62">
        <f t="shared" si="23"/>
        <v>503440</v>
      </c>
      <c r="Q1321" s="6" t="s">
        <v>397</v>
      </c>
      <c r="R1321" s="6" t="s">
        <v>770</v>
      </c>
      <c r="S1321" s="38" t="s">
        <v>637</v>
      </c>
      <c r="T1321" s="26">
        <v>100</v>
      </c>
    </row>
    <row r="1322" spans="2:20" ht="51" outlineLevel="1">
      <c r="B1322" s="6">
        <v>1306</v>
      </c>
      <c r="C1322" s="16" t="s">
        <v>714</v>
      </c>
      <c r="D1322" s="6" t="s">
        <v>601</v>
      </c>
      <c r="E1322" s="6" t="s">
        <v>552</v>
      </c>
      <c r="F1322" s="70" t="s">
        <v>553</v>
      </c>
      <c r="G1322" s="70" t="s">
        <v>554</v>
      </c>
      <c r="H1322" s="70" t="s">
        <v>553</v>
      </c>
      <c r="I1322" s="70" t="s">
        <v>554</v>
      </c>
      <c r="J1322" s="70" t="s">
        <v>1415</v>
      </c>
      <c r="K1322" s="70" t="s">
        <v>69</v>
      </c>
      <c r="L1322" s="70" t="s">
        <v>595</v>
      </c>
      <c r="M1322" s="12" t="s">
        <v>918</v>
      </c>
      <c r="N1322" s="26">
        <v>1</v>
      </c>
      <c r="O1322" s="57">
        <v>862500</v>
      </c>
      <c r="P1322" s="62">
        <f t="shared" si="23"/>
        <v>862500</v>
      </c>
      <c r="Q1322" s="6" t="s">
        <v>397</v>
      </c>
      <c r="R1322" s="6" t="s">
        <v>770</v>
      </c>
      <c r="S1322" s="38">
        <v>311000000</v>
      </c>
      <c r="T1322" s="26">
        <v>0</v>
      </c>
    </row>
    <row r="1323" spans="2:20" ht="63.75" outlineLevel="1">
      <c r="B1323" s="6">
        <v>1307</v>
      </c>
      <c r="C1323" s="16" t="s">
        <v>714</v>
      </c>
      <c r="D1323" s="6" t="s">
        <v>601</v>
      </c>
      <c r="E1323" s="6" t="s">
        <v>555</v>
      </c>
      <c r="F1323" s="70" t="s">
        <v>556</v>
      </c>
      <c r="G1323" s="70" t="s">
        <v>557</v>
      </c>
      <c r="H1323" s="70" t="s">
        <v>558</v>
      </c>
      <c r="I1323" s="70" t="s">
        <v>559</v>
      </c>
      <c r="J1323" s="70" t="s">
        <v>1417</v>
      </c>
      <c r="K1323" s="70" t="s">
        <v>71</v>
      </c>
      <c r="L1323" s="70" t="s">
        <v>595</v>
      </c>
      <c r="M1323" s="12" t="s">
        <v>918</v>
      </c>
      <c r="N1323" s="26">
        <v>1</v>
      </c>
      <c r="O1323" s="57">
        <v>1028571</v>
      </c>
      <c r="P1323" s="62">
        <f t="shared" si="23"/>
        <v>1028571</v>
      </c>
      <c r="Q1323" s="6" t="s">
        <v>397</v>
      </c>
      <c r="R1323" s="6" t="s">
        <v>770</v>
      </c>
      <c r="S1323" s="38">
        <v>311000000</v>
      </c>
      <c r="T1323" s="26">
        <v>0</v>
      </c>
    </row>
    <row r="1324" spans="2:20" ht="76.5" outlineLevel="1">
      <c r="B1324" s="6">
        <v>1308</v>
      </c>
      <c r="C1324" s="16" t="s">
        <v>714</v>
      </c>
      <c r="D1324" s="6" t="s">
        <v>601</v>
      </c>
      <c r="E1324" s="6" t="s">
        <v>872</v>
      </c>
      <c r="F1324" s="70" t="s">
        <v>1881</v>
      </c>
      <c r="G1324" s="70" t="s">
        <v>873</v>
      </c>
      <c r="H1324" s="70" t="s">
        <v>1882</v>
      </c>
      <c r="I1324" s="70" t="s">
        <v>874</v>
      </c>
      <c r="J1324" s="70" t="s">
        <v>1880</v>
      </c>
      <c r="K1324" s="70" t="s">
        <v>72</v>
      </c>
      <c r="L1324" s="70" t="s">
        <v>595</v>
      </c>
      <c r="M1324" s="12" t="s">
        <v>918</v>
      </c>
      <c r="N1324" s="26">
        <v>1</v>
      </c>
      <c r="O1324" s="57">
        <v>28393</v>
      </c>
      <c r="P1324" s="62">
        <f t="shared" si="23"/>
        <v>28393</v>
      </c>
      <c r="Q1324" s="6" t="s">
        <v>397</v>
      </c>
      <c r="R1324" s="6" t="s">
        <v>770</v>
      </c>
      <c r="S1324" s="38">
        <v>311000000</v>
      </c>
      <c r="T1324" s="26">
        <v>0</v>
      </c>
    </row>
    <row r="1325" spans="2:20" ht="51" outlineLevel="1">
      <c r="B1325" s="6">
        <v>1309</v>
      </c>
      <c r="C1325" s="16" t="s">
        <v>714</v>
      </c>
      <c r="D1325" s="6" t="s">
        <v>601</v>
      </c>
      <c r="E1325" s="6" t="s">
        <v>565</v>
      </c>
      <c r="F1325" s="70" t="s">
        <v>566</v>
      </c>
      <c r="G1325" s="70" t="s">
        <v>567</v>
      </c>
      <c r="H1325" s="70" t="s">
        <v>568</v>
      </c>
      <c r="I1325" s="70" t="s">
        <v>569</v>
      </c>
      <c r="J1325" s="70" t="s">
        <v>566</v>
      </c>
      <c r="K1325" s="70" t="s">
        <v>73</v>
      </c>
      <c r="L1325" s="70" t="s">
        <v>595</v>
      </c>
      <c r="M1325" s="12" t="s">
        <v>918</v>
      </c>
      <c r="N1325" s="26">
        <v>1</v>
      </c>
      <c r="O1325" s="57">
        <v>239357</v>
      </c>
      <c r="P1325" s="62">
        <f t="shared" si="23"/>
        <v>239357</v>
      </c>
      <c r="Q1325" s="6" t="s">
        <v>397</v>
      </c>
      <c r="R1325" s="6" t="s">
        <v>770</v>
      </c>
      <c r="S1325" s="38">
        <v>311000000</v>
      </c>
      <c r="T1325" s="26">
        <v>0</v>
      </c>
    </row>
    <row r="1326" spans="2:20" ht="51" outlineLevel="1">
      <c r="B1326" s="6">
        <v>1310</v>
      </c>
      <c r="C1326" s="16" t="s">
        <v>714</v>
      </c>
      <c r="D1326" s="6" t="s">
        <v>601</v>
      </c>
      <c r="E1326" s="6" t="s">
        <v>552</v>
      </c>
      <c r="F1326" s="70" t="s">
        <v>553</v>
      </c>
      <c r="G1326" s="70" t="s">
        <v>554</v>
      </c>
      <c r="H1326" s="70" t="s">
        <v>553</v>
      </c>
      <c r="I1326" s="70" t="s">
        <v>554</v>
      </c>
      <c r="J1326" s="70" t="s">
        <v>1415</v>
      </c>
      <c r="K1326" s="70" t="s">
        <v>69</v>
      </c>
      <c r="L1326" s="70" t="s">
        <v>595</v>
      </c>
      <c r="M1326" s="12" t="s">
        <v>918</v>
      </c>
      <c r="N1326" s="26">
        <v>1</v>
      </c>
      <c r="O1326" s="57">
        <v>241284</v>
      </c>
      <c r="P1326" s="62">
        <f t="shared" si="23"/>
        <v>241284</v>
      </c>
      <c r="Q1326" s="6" t="s">
        <v>397</v>
      </c>
      <c r="R1326" s="6" t="s">
        <v>770</v>
      </c>
      <c r="S1326" s="38">
        <v>431000000</v>
      </c>
      <c r="T1326" s="26">
        <v>0</v>
      </c>
    </row>
    <row r="1327" spans="2:20" ht="63.75" outlineLevel="1">
      <c r="B1327" s="6">
        <v>1311</v>
      </c>
      <c r="C1327" s="16" t="s">
        <v>714</v>
      </c>
      <c r="D1327" s="6" t="s">
        <v>601</v>
      </c>
      <c r="E1327" s="6" t="s">
        <v>555</v>
      </c>
      <c r="F1327" s="70" t="s">
        <v>556</v>
      </c>
      <c r="G1327" s="70" t="s">
        <v>557</v>
      </c>
      <c r="H1327" s="70" t="s">
        <v>558</v>
      </c>
      <c r="I1327" s="70" t="s">
        <v>559</v>
      </c>
      <c r="J1327" s="70" t="s">
        <v>1417</v>
      </c>
      <c r="K1327" s="70" t="s">
        <v>71</v>
      </c>
      <c r="L1327" s="70" t="s">
        <v>595</v>
      </c>
      <c r="M1327" s="12" t="s">
        <v>918</v>
      </c>
      <c r="N1327" s="26">
        <v>1</v>
      </c>
      <c r="O1327" s="57">
        <v>1667384</v>
      </c>
      <c r="P1327" s="62">
        <f t="shared" si="23"/>
        <v>1667384</v>
      </c>
      <c r="Q1327" s="6" t="s">
        <v>397</v>
      </c>
      <c r="R1327" s="6" t="s">
        <v>770</v>
      </c>
      <c r="S1327" s="38">
        <v>431000000</v>
      </c>
      <c r="T1327" s="26">
        <v>0</v>
      </c>
    </row>
    <row r="1328" spans="2:20" ht="76.5" outlineLevel="1">
      <c r="B1328" s="6">
        <v>1312</v>
      </c>
      <c r="C1328" s="16" t="s">
        <v>714</v>
      </c>
      <c r="D1328" s="6" t="s">
        <v>601</v>
      </c>
      <c r="E1328" s="6" t="s">
        <v>560</v>
      </c>
      <c r="F1328" s="70" t="s">
        <v>561</v>
      </c>
      <c r="G1328" s="70" t="s">
        <v>562</v>
      </c>
      <c r="H1328" s="70" t="s">
        <v>563</v>
      </c>
      <c r="I1328" s="70" t="s">
        <v>564</v>
      </c>
      <c r="J1328" s="70" t="s">
        <v>1880</v>
      </c>
      <c r="K1328" s="70" t="s">
        <v>72</v>
      </c>
      <c r="L1328" s="70" t="s">
        <v>595</v>
      </c>
      <c r="M1328" s="12" t="s">
        <v>918</v>
      </c>
      <c r="N1328" s="26">
        <v>1</v>
      </c>
      <c r="O1328" s="57">
        <v>535513</v>
      </c>
      <c r="P1328" s="62">
        <f t="shared" si="23"/>
        <v>535513</v>
      </c>
      <c r="Q1328" s="6" t="s">
        <v>397</v>
      </c>
      <c r="R1328" s="6" t="s">
        <v>770</v>
      </c>
      <c r="S1328" s="38">
        <v>431000000</v>
      </c>
      <c r="T1328" s="26">
        <v>0</v>
      </c>
    </row>
    <row r="1329" spans="1:20" ht="51" outlineLevel="1">
      <c r="B1329" s="6">
        <v>1313</v>
      </c>
      <c r="C1329" s="16" t="s">
        <v>714</v>
      </c>
      <c r="D1329" s="6" t="s">
        <v>601</v>
      </c>
      <c r="E1329" s="6" t="s">
        <v>565</v>
      </c>
      <c r="F1329" s="70" t="s">
        <v>566</v>
      </c>
      <c r="G1329" s="70" t="s">
        <v>567</v>
      </c>
      <c r="H1329" s="70" t="s">
        <v>568</v>
      </c>
      <c r="I1329" s="70" t="s">
        <v>569</v>
      </c>
      <c r="J1329" s="70" t="s">
        <v>566</v>
      </c>
      <c r="K1329" s="70" t="s">
        <v>73</v>
      </c>
      <c r="L1329" s="70" t="s">
        <v>595</v>
      </c>
      <c r="M1329" s="12" t="s">
        <v>918</v>
      </c>
      <c r="N1329" s="26">
        <v>1</v>
      </c>
      <c r="O1329" s="57">
        <v>156429</v>
      </c>
      <c r="P1329" s="62">
        <f t="shared" si="23"/>
        <v>156429</v>
      </c>
      <c r="Q1329" s="6" t="s">
        <v>397</v>
      </c>
      <c r="R1329" s="6" t="s">
        <v>770</v>
      </c>
      <c r="S1329" s="38">
        <v>431000000</v>
      </c>
      <c r="T1329" s="26">
        <v>0</v>
      </c>
    </row>
    <row r="1330" spans="1:20" s="39" customFormat="1" ht="51">
      <c r="B1330" s="6">
        <v>1314</v>
      </c>
      <c r="C1330" s="16" t="s">
        <v>714</v>
      </c>
      <c r="D1330" s="6" t="s">
        <v>601</v>
      </c>
      <c r="E1330" s="6" t="s">
        <v>552</v>
      </c>
      <c r="F1330" s="70" t="s">
        <v>553</v>
      </c>
      <c r="G1330" s="70" t="s">
        <v>554</v>
      </c>
      <c r="H1330" s="70" t="s">
        <v>553</v>
      </c>
      <c r="I1330" s="70" t="s">
        <v>554</v>
      </c>
      <c r="J1330" s="70" t="s">
        <v>1415</v>
      </c>
      <c r="K1330" s="70" t="s">
        <v>69</v>
      </c>
      <c r="L1330" s="70" t="s">
        <v>595</v>
      </c>
      <c r="M1330" s="12" t="s">
        <v>918</v>
      </c>
      <c r="N1330" s="26">
        <v>1</v>
      </c>
      <c r="O1330" s="57">
        <v>642857</v>
      </c>
      <c r="P1330" s="62">
        <f t="shared" si="23"/>
        <v>642857</v>
      </c>
      <c r="Q1330" s="6" t="s">
        <v>397</v>
      </c>
      <c r="R1330" s="6" t="s">
        <v>770</v>
      </c>
      <c r="S1330" s="38">
        <v>551000000</v>
      </c>
      <c r="T1330" s="26">
        <v>100</v>
      </c>
    </row>
    <row r="1331" spans="1:20" s="39" customFormat="1" ht="63.75">
      <c r="B1331" s="6">
        <v>1315</v>
      </c>
      <c r="C1331" s="16" t="s">
        <v>714</v>
      </c>
      <c r="D1331" s="6" t="s">
        <v>601</v>
      </c>
      <c r="E1331" s="6" t="s">
        <v>555</v>
      </c>
      <c r="F1331" s="70" t="s">
        <v>556</v>
      </c>
      <c r="G1331" s="70" t="s">
        <v>557</v>
      </c>
      <c r="H1331" s="70" t="s">
        <v>558</v>
      </c>
      <c r="I1331" s="70" t="s">
        <v>559</v>
      </c>
      <c r="J1331" s="70" t="s">
        <v>1417</v>
      </c>
      <c r="K1331" s="70" t="s">
        <v>71</v>
      </c>
      <c r="L1331" s="70" t="s">
        <v>595</v>
      </c>
      <c r="M1331" s="12" t="s">
        <v>918</v>
      </c>
      <c r="N1331" s="26">
        <v>1</v>
      </c>
      <c r="O1331" s="57">
        <v>857143</v>
      </c>
      <c r="P1331" s="62">
        <f t="shared" si="23"/>
        <v>857143</v>
      </c>
      <c r="Q1331" s="6" t="s">
        <v>397</v>
      </c>
      <c r="R1331" s="6" t="s">
        <v>770</v>
      </c>
      <c r="S1331" s="38">
        <v>551000000</v>
      </c>
      <c r="T1331" s="26">
        <v>100</v>
      </c>
    </row>
    <row r="1332" spans="1:20" s="39" customFormat="1" ht="68.25" customHeight="1">
      <c r="B1332" s="6">
        <v>1316</v>
      </c>
      <c r="C1332" s="16" t="s">
        <v>714</v>
      </c>
      <c r="D1332" s="6" t="s">
        <v>601</v>
      </c>
      <c r="E1332" s="6" t="s">
        <v>872</v>
      </c>
      <c r="F1332" s="70" t="s">
        <v>1881</v>
      </c>
      <c r="G1332" s="70" t="s">
        <v>873</v>
      </c>
      <c r="H1332" s="70" t="s">
        <v>1882</v>
      </c>
      <c r="I1332" s="70" t="s">
        <v>874</v>
      </c>
      <c r="J1332" s="70" t="s">
        <v>1880</v>
      </c>
      <c r="K1332" s="70" t="s">
        <v>72</v>
      </c>
      <c r="L1332" s="70" t="s">
        <v>595</v>
      </c>
      <c r="M1332" s="12" t="s">
        <v>918</v>
      </c>
      <c r="N1332" s="26">
        <v>1</v>
      </c>
      <c r="O1332" s="57">
        <v>321429</v>
      </c>
      <c r="P1332" s="62">
        <f t="shared" si="23"/>
        <v>321429</v>
      </c>
      <c r="Q1332" s="6" t="s">
        <v>397</v>
      </c>
      <c r="R1332" s="6" t="s">
        <v>770</v>
      </c>
      <c r="S1332" s="38">
        <v>551000000</v>
      </c>
      <c r="T1332" s="26">
        <v>100</v>
      </c>
    </row>
    <row r="1333" spans="1:20" s="39" customFormat="1" ht="72.75" customHeight="1">
      <c r="B1333" s="6">
        <v>1317</v>
      </c>
      <c r="C1333" s="16" t="s">
        <v>714</v>
      </c>
      <c r="D1333" s="6" t="s">
        <v>601</v>
      </c>
      <c r="E1333" s="6" t="s">
        <v>565</v>
      </c>
      <c r="F1333" s="70" t="s">
        <v>566</v>
      </c>
      <c r="G1333" s="70" t="s">
        <v>567</v>
      </c>
      <c r="H1333" s="70" t="s">
        <v>568</v>
      </c>
      <c r="I1333" s="70" t="s">
        <v>569</v>
      </c>
      <c r="J1333" s="70" t="s">
        <v>566</v>
      </c>
      <c r="K1333" s="70" t="s">
        <v>73</v>
      </c>
      <c r="L1333" s="70" t="s">
        <v>595</v>
      </c>
      <c r="M1333" s="12" t="s">
        <v>918</v>
      </c>
      <c r="N1333" s="26">
        <v>1</v>
      </c>
      <c r="O1333" s="57">
        <v>267857</v>
      </c>
      <c r="P1333" s="62">
        <f t="shared" si="23"/>
        <v>267857</v>
      </c>
      <c r="Q1333" s="6" t="s">
        <v>397</v>
      </c>
      <c r="R1333" s="6" t="s">
        <v>770</v>
      </c>
      <c r="S1333" s="38">
        <v>551000000</v>
      </c>
      <c r="T1333" s="26">
        <v>0</v>
      </c>
    </row>
    <row r="1334" spans="1:20" ht="51" outlineLevel="1">
      <c r="B1334" s="6">
        <v>1318</v>
      </c>
      <c r="C1334" s="16" t="s">
        <v>714</v>
      </c>
      <c r="D1334" s="6" t="s">
        <v>601</v>
      </c>
      <c r="E1334" s="6" t="s">
        <v>552</v>
      </c>
      <c r="F1334" s="70" t="s">
        <v>553</v>
      </c>
      <c r="G1334" s="70" t="s">
        <v>554</v>
      </c>
      <c r="H1334" s="70" t="s">
        <v>553</v>
      </c>
      <c r="I1334" s="70" t="s">
        <v>554</v>
      </c>
      <c r="J1334" s="70" t="s">
        <v>1415</v>
      </c>
      <c r="K1334" s="70" t="s">
        <v>69</v>
      </c>
      <c r="L1334" s="70" t="s">
        <v>595</v>
      </c>
      <c r="M1334" s="12" t="s">
        <v>918</v>
      </c>
      <c r="N1334" s="26">
        <v>1</v>
      </c>
      <c r="O1334" s="57">
        <f>P1334/N1334</f>
        <v>0</v>
      </c>
      <c r="P1334" s="62">
        <f>185366-185366</f>
        <v>0</v>
      </c>
      <c r="Q1334" s="6" t="s">
        <v>590</v>
      </c>
      <c r="R1334" s="6" t="s">
        <v>770</v>
      </c>
      <c r="S1334" s="38" t="s">
        <v>2037</v>
      </c>
      <c r="T1334" s="6">
        <v>0</v>
      </c>
    </row>
    <row r="1335" spans="1:20" ht="63.75" outlineLevel="1">
      <c r="B1335" s="6">
        <v>1319</v>
      </c>
      <c r="C1335" s="16" t="s">
        <v>714</v>
      </c>
      <c r="D1335" s="6" t="s">
        <v>601</v>
      </c>
      <c r="E1335" s="6" t="s">
        <v>555</v>
      </c>
      <c r="F1335" s="70" t="s">
        <v>556</v>
      </c>
      <c r="G1335" s="70" t="s">
        <v>557</v>
      </c>
      <c r="H1335" s="70" t="s">
        <v>558</v>
      </c>
      <c r="I1335" s="70" t="s">
        <v>559</v>
      </c>
      <c r="J1335" s="70" t="s">
        <v>1417</v>
      </c>
      <c r="K1335" s="70" t="s">
        <v>71</v>
      </c>
      <c r="L1335" s="70" t="s">
        <v>595</v>
      </c>
      <c r="M1335" s="12" t="s">
        <v>918</v>
      </c>
      <c r="N1335" s="26">
        <v>1</v>
      </c>
      <c r="O1335" s="57">
        <v>358693</v>
      </c>
      <c r="P1335" s="62">
        <f t="shared" si="23"/>
        <v>358693</v>
      </c>
      <c r="Q1335" s="6" t="s">
        <v>397</v>
      </c>
      <c r="R1335" s="6" t="s">
        <v>770</v>
      </c>
      <c r="S1335" s="38" t="s">
        <v>2037</v>
      </c>
      <c r="T1335" s="6">
        <v>0</v>
      </c>
    </row>
    <row r="1336" spans="1:20" ht="76.5" outlineLevel="1">
      <c r="B1336" s="6">
        <v>1320</v>
      </c>
      <c r="C1336" s="16" t="s">
        <v>714</v>
      </c>
      <c r="D1336" s="6" t="s">
        <v>601</v>
      </c>
      <c r="E1336" s="6" t="s">
        <v>872</v>
      </c>
      <c r="F1336" s="70" t="s">
        <v>1881</v>
      </c>
      <c r="G1336" s="70" t="s">
        <v>873</v>
      </c>
      <c r="H1336" s="70" t="s">
        <v>1882</v>
      </c>
      <c r="I1336" s="70" t="s">
        <v>874</v>
      </c>
      <c r="J1336" s="70" t="s">
        <v>1880</v>
      </c>
      <c r="K1336" s="70" t="s">
        <v>72</v>
      </c>
      <c r="L1336" s="70" t="s">
        <v>595</v>
      </c>
      <c r="M1336" s="12" t="s">
        <v>918</v>
      </c>
      <c r="N1336" s="26">
        <v>1</v>
      </c>
      <c r="O1336" s="57">
        <v>115730</v>
      </c>
      <c r="P1336" s="62">
        <f t="shared" si="23"/>
        <v>115730</v>
      </c>
      <c r="Q1336" s="6" t="s">
        <v>397</v>
      </c>
      <c r="R1336" s="6" t="s">
        <v>770</v>
      </c>
      <c r="S1336" s="38" t="s">
        <v>2037</v>
      </c>
      <c r="T1336" s="6">
        <v>0</v>
      </c>
    </row>
    <row r="1337" spans="1:20" ht="51" outlineLevel="1">
      <c r="B1337" s="6">
        <v>1321</v>
      </c>
      <c r="C1337" s="16" t="s">
        <v>714</v>
      </c>
      <c r="D1337" s="6" t="s">
        <v>601</v>
      </c>
      <c r="E1337" s="6" t="s">
        <v>565</v>
      </c>
      <c r="F1337" s="70" t="s">
        <v>566</v>
      </c>
      <c r="G1337" s="70" t="s">
        <v>567</v>
      </c>
      <c r="H1337" s="70" t="s">
        <v>568</v>
      </c>
      <c r="I1337" s="70" t="s">
        <v>569</v>
      </c>
      <c r="J1337" s="70" t="s">
        <v>566</v>
      </c>
      <c r="K1337" s="70" t="s">
        <v>73</v>
      </c>
      <c r="L1337" s="70" t="s">
        <v>595</v>
      </c>
      <c r="M1337" s="12" t="s">
        <v>918</v>
      </c>
      <c r="N1337" s="26">
        <v>1</v>
      </c>
      <c r="O1337" s="57">
        <v>59375</v>
      </c>
      <c r="P1337" s="62">
        <f t="shared" si="23"/>
        <v>59375</v>
      </c>
      <c r="Q1337" s="6" t="s">
        <v>397</v>
      </c>
      <c r="R1337" s="6" t="s">
        <v>770</v>
      </c>
      <c r="S1337" s="38" t="s">
        <v>2037</v>
      </c>
      <c r="T1337" s="6">
        <v>0</v>
      </c>
    </row>
    <row r="1338" spans="1:20" ht="38.25" outlineLevel="1">
      <c r="B1338" s="6">
        <v>1322</v>
      </c>
      <c r="C1338" s="16" t="s">
        <v>714</v>
      </c>
      <c r="D1338" s="6" t="s">
        <v>601</v>
      </c>
      <c r="E1338" s="12" t="s">
        <v>579</v>
      </c>
      <c r="F1338" s="70" t="s">
        <v>1885</v>
      </c>
      <c r="G1338" s="70" t="s">
        <v>580</v>
      </c>
      <c r="H1338" s="70" t="s">
        <v>1883</v>
      </c>
      <c r="I1338" s="70" t="s">
        <v>580</v>
      </c>
      <c r="J1338" s="70" t="s">
        <v>1884</v>
      </c>
      <c r="K1338" s="70" t="s">
        <v>104</v>
      </c>
      <c r="L1338" s="70" t="s">
        <v>595</v>
      </c>
      <c r="M1338" s="12" t="s">
        <v>918</v>
      </c>
      <c r="N1338" s="26">
        <v>1</v>
      </c>
      <c r="O1338" s="57">
        <v>462500</v>
      </c>
      <c r="P1338" s="62">
        <f t="shared" si="23"/>
        <v>462500</v>
      </c>
      <c r="Q1338" s="6" t="s">
        <v>702</v>
      </c>
      <c r="R1338" s="6" t="s">
        <v>398</v>
      </c>
      <c r="S1338" s="38" t="s">
        <v>1179</v>
      </c>
      <c r="T1338" s="26">
        <v>100</v>
      </c>
    </row>
    <row r="1339" spans="1:20" ht="63.75">
      <c r="B1339" s="6">
        <v>1323</v>
      </c>
      <c r="C1339" s="16" t="s">
        <v>714</v>
      </c>
      <c r="D1339" s="43" t="s">
        <v>601</v>
      </c>
      <c r="E1339" s="6" t="s">
        <v>1504</v>
      </c>
      <c r="F1339" s="70" t="s">
        <v>1505</v>
      </c>
      <c r="G1339" s="70" t="s">
        <v>1506</v>
      </c>
      <c r="H1339" s="70" t="s">
        <v>1507</v>
      </c>
      <c r="I1339" s="70" t="s">
        <v>1508</v>
      </c>
      <c r="J1339" s="70" t="s">
        <v>1505</v>
      </c>
      <c r="K1339" s="70" t="s">
        <v>1506</v>
      </c>
      <c r="L1339" s="70" t="s">
        <v>595</v>
      </c>
      <c r="M1339" s="12" t="s">
        <v>918</v>
      </c>
      <c r="N1339" s="26">
        <v>1</v>
      </c>
      <c r="O1339" s="57">
        <v>3285000</v>
      </c>
      <c r="P1339" s="62">
        <f t="shared" si="23"/>
        <v>3285000</v>
      </c>
      <c r="Q1339" s="6" t="s">
        <v>395</v>
      </c>
      <c r="R1339" s="6" t="s">
        <v>770</v>
      </c>
      <c r="S1339" s="38" t="s">
        <v>1179</v>
      </c>
      <c r="T1339" s="26">
        <v>50</v>
      </c>
    </row>
    <row r="1340" spans="1:20" ht="102" outlineLevel="1">
      <c r="B1340" s="6">
        <v>1324</v>
      </c>
      <c r="C1340" s="16" t="s">
        <v>714</v>
      </c>
      <c r="D1340" s="6" t="s">
        <v>601</v>
      </c>
      <c r="E1340" s="6" t="s">
        <v>710</v>
      </c>
      <c r="F1340" s="70" t="s">
        <v>1160</v>
      </c>
      <c r="G1340" s="70" t="s">
        <v>1161</v>
      </c>
      <c r="H1340" s="70" t="s">
        <v>1160</v>
      </c>
      <c r="I1340" s="70" t="s">
        <v>1161</v>
      </c>
      <c r="J1340" s="70" t="s">
        <v>1887</v>
      </c>
      <c r="K1340" s="70" t="s">
        <v>79</v>
      </c>
      <c r="L1340" s="70" t="s">
        <v>595</v>
      </c>
      <c r="M1340" s="12" t="s">
        <v>918</v>
      </c>
      <c r="N1340" s="26">
        <v>1</v>
      </c>
      <c r="O1340" s="57">
        <v>154464</v>
      </c>
      <c r="P1340" s="62">
        <f t="shared" si="23"/>
        <v>154464</v>
      </c>
      <c r="Q1340" s="6" t="s">
        <v>505</v>
      </c>
      <c r="R1340" s="6" t="s">
        <v>770</v>
      </c>
      <c r="S1340" s="38" t="s">
        <v>1179</v>
      </c>
      <c r="T1340" s="26">
        <v>100</v>
      </c>
    </row>
    <row r="1341" spans="1:20" ht="51" outlineLevel="1">
      <c r="B1341" s="6">
        <v>1325</v>
      </c>
      <c r="C1341" s="16" t="s">
        <v>714</v>
      </c>
      <c r="D1341" s="6" t="s">
        <v>601</v>
      </c>
      <c r="E1341" s="12" t="s">
        <v>1353</v>
      </c>
      <c r="F1341" s="70" t="s">
        <v>1888</v>
      </c>
      <c r="G1341" s="70" t="s">
        <v>1354</v>
      </c>
      <c r="H1341" s="70" t="s">
        <v>1888</v>
      </c>
      <c r="I1341" s="70" t="s">
        <v>1354</v>
      </c>
      <c r="J1341" s="70" t="s">
        <v>1889</v>
      </c>
      <c r="K1341" s="70" t="s">
        <v>106</v>
      </c>
      <c r="L1341" s="70" t="s">
        <v>595</v>
      </c>
      <c r="M1341" s="12" t="s">
        <v>918</v>
      </c>
      <c r="N1341" s="26">
        <v>1</v>
      </c>
      <c r="O1341" s="57">
        <v>446429</v>
      </c>
      <c r="P1341" s="62">
        <f t="shared" si="23"/>
        <v>446429</v>
      </c>
      <c r="Q1341" s="6" t="s">
        <v>506</v>
      </c>
      <c r="R1341" s="6" t="s">
        <v>398</v>
      </c>
      <c r="S1341" s="38" t="s">
        <v>1179</v>
      </c>
      <c r="T1341" s="26">
        <v>100</v>
      </c>
    </row>
    <row r="1342" spans="1:20" ht="63.75">
      <c r="B1342" s="6">
        <v>1326</v>
      </c>
      <c r="C1342" s="16" t="s">
        <v>714</v>
      </c>
      <c r="D1342" s="43" t="s">
        <v>601</v>
      </c>
      <c r="E1342" s="6" t="s">
        <v>1509</v>
      </c>
      <c r="F1342" s="70" t="s">
        <v>1510</v>
      </c>
      <c r="G1342" s="70" t="s">
        <v>1511</v>
      </c>
      <c r="H1342" s="70" t="s">
        <v>1510</v>
      </c>
      <c r="I1342" s="70" t="s">
        <v>1511</v>
      </c>
      <c r="J1342" s="70" t="s">
        <v>1512</v>
      </c>
      <c r="K1342" s="70" t="s">
        <v>279</v>
      </c>
      <c r="L1342" s="70" t="s">
        <v>595</v>
      </c>
      <c r="M1342" s="12" t="s">
        <v>918</v>
      </c>
      <c r="N1342" s="26">
        <v>1</v>
      </c>
      <c r="O1342" s="57">
        <v>5892857</v>
      </c>
      <c r="P1342" s="62">
        <f t="shared" si="23"/>
        <v>5892857</v>
      </c>
      <c r="Q1342" s="6" t="s">
        <v>519</v>
      </c>
      <c r="R1342" s="16" t="s">
        <v>1476</v>
      </c>
      <c r="S1342" s="38" t="s">
        <v>1179</v>
      </c>
      <c r="T1342" s="26">
        <v>100</v>
      </c>
    </row>
    <row r="1343" spans="1:20" ht="127.5">
      <c r="B1343" s="6">
        <v>1327</v>
      </c>
      <c r="C1343" s="16" t="s">
        <v>714</v>
      </c>
      <c r="D1343" s="43" t="s">
        <v>601</v>
      </c>
      <c r="E1343" s="6" t="s">
        <v>1513</v>
      </c>
      <c r="F1343" s="70" t="s">
        <v>1514</v>
      </c>
      <c r="G1343" s="70" t="s">
        <v>105</v>
      </c>
      <c r="H1343" s="70" t="s">
        <v>1515</v>
      </c>
      <c r="I1343" s="70" t="s">
        <v>1516</v>
      </c>
      <c r="J1343" s="70" t="s">
        <v>1514</v>
      </c>
      <c r="K1343" s="70" t="s">
        <v>105</v>
      </c>
      <c r="L1343" s="70" t="s">
        <v>1490</v>
      </c>
      <c r="M1343" s="12" t="s">
        <v>918</v>
      </c>
      <c r="N1343" s="26">
        <v>1</v>
      </c>
      <c r="O1343" s="57">
        <v>7589286</v>
      </c>
      <c r="P1343" s="62">
        <f t="shared" si="23"/>
        <v>7589286</v>
      </c>
      <c r="Q1343" s="6" t="s">
        <v>702</v>
      </c>
      <c r="R1343" s="6" t="s">
        <v>770</v>
      </c>
      <c r="S1343" s="38" t="s">
        <v>1179</v>
      </c>
      <c r="T1343" s="26">
        <v>30</v>
      </c>
    </row>
    <row r="1344" spans="1:20" s="45" customFormat="1" ht="63.75" outlineLevel="1">
      <c r="A1344" s="44"/>
      <c r="B1344" s="6">
        <v>1328</v>
      </c>
      <c r="C1344" s="16" t="s">
        <v>714</v>
      </c>
      <c r="D1344" s="6" t="s">
        <v>601</v>
      </c>
      <c r="E1344" s="38" t="s">
        <v>1339</v>
      </c>
      <c r="F1344" s="70" t="s">
        <v>1890</v>
      </c>
      <c r="G1344" s="70" t="s">
        <v>1340</v>
      </c>
      <c r="H1344" s="70" t="s">
        <v>1891</v>
      </c>
      <c r="I1344" s="70" t="s">
        <v>838</v>
      </c>
      <c r="J1344" s="70" t="s">
        <v>1892</v>
      </c>
      <c r="K1344" s="70" t="s">
        <v>280</v>
      </c>
      <c r="L1344" s="70" t="s">
        <v>595</v>
      </c>
      <c r="M1344" s="12" t="s">
        <v>918</v>
      </c>
      <c r="N1344" s="26">
        <v>1</v>
      </c>
      <c r="O1344" s="57">
        <v>892857</v>
      </c>
      <c r="P1344" s="62">
        <f t="shared" si="23"/>
        <v>892857</v>
      </c>
      <c r="Q1344" s="6" t="s">
        <v>703</v>
      </c>
      <c r="R1344" s="6" t="s">
        <v>1480</v>
      </c>
      <c r="S1344" s="38" t="s">
        <v>1179</v>
      </c>
      <c r="T1344" s="6">
        <v>0</v>
      </c>
    </row>
    <row r="1345" spans="1:20" ht="102" outlineLevel="1">
      <c r="B1345" s="6">
        <v>1329</v>
      </c>
      <c r="C1345" s="16" t="s">
        <v>714</v>
      </c>
      <c r="D1345" s="6" t="s">
        <v>601</v>
      </c>
      <c r="E1345" s="12" t="s">
        <v>1355</v>
      </c>
      <c r="F1345" s="70" t="s">
        <v>1894</v>
      </c>
      <c r="G1345" s="70" t="s">
        <v>1356</v>
      </c>
      <c r="H1345" s="70" t="s">
        <v>1895</v>
      </c>
      <c r="I1345" s="70" t="s">
        <v>1893</v>
      </c>
      <c r="J1345" s="70" t="s">
        <v>1896</v>
      </c>
      <c r="K1345" s="70" t="s">
        <v>281</v>
      </c>
      <c r="L1345" s="70" t="s">
        <v>595</v>
      </c>
      <c r="M1345" s="12" t="s">
        <v>918</v>
      </c>
      <c r="N1345" s="26">
        <v>1</v>
      </c>
      <c r="O1345" s="57">
        <v>1339286</v>
      </c>
      <c r="P1345" s="62">
        <f t="shared" ref="P1345:P1406" si="24">N1345*O1345</f>
        <v>1339286</v>
      </c>
      <c r="Q1345" s="6" t="s">
        <v>506</v>
      </c>
      <c r="R1345" s="6" t="s">
        <v>398</v>
      </c>
      <c r="S1345" s="38" t="s">
        <v>1179</v>
      </c>
      <c r="T1345" s="6">
        <v>30</v>
      </c>
    </row>
    <row r="1346" spans="1:20" ht="76.5" outlineLevel="1">
      <c r="B1346" s="6">
        <v>1330</v>
      </c>
      <c r="C1346" s="16" t="s">
        <v>714</v>
      </c>
      <c r="D1346" s="6" t="s">
        <v>601</v>
      </c>
      <c r="E1346" s="12" t="s">
        <v>1357</v>
      </c>
      <c r="F1346" s="70" t="s">
        <v>1901</v>
      </c>
      <c r="G1346" s="70" t="s">
        <v>1358</v>
      </c>
      <c r="H1346" s="70" t="s">
        <v>1897</v>
      </c>
      <c r="I1346" s="70" t="s">
        <v>1359</v>
      </c>
      <c r="J1346" s="70" t="s">
        <v>1898</v>
      </c>
      <c r="K1346" s="70" t="s">
        <v>282</v>
      </c>
      <c r="L1346" s="70" t="s">
        <v>1489</v>
      </c>
      <c r="M1346" s="12" t="s">
        <v>918</v>
      </c>
      <c r="N1346" s="26">
        <v>1</v>
      </c>
      <c r="O1346" s="57">
        <v>5850000</v>
      </c>
      <c r="P1346" s="62">
        <f t="shared" si="24"/>
        <v>5850000</v>
      </c>
      <c r="Q1346" s="6" t="s">
        <v>506</v>
      </c>
      <c r="R1346" s="6" t="s">
        <v>398</v>
      </c>
      <c r="S1346" s="38" t="s">
        <v>1179</v>
      </c>
      <c r="T1346" s="6">
        <v>30</v>
      </c>
    </row>
    <row r="1347" spans="1:20" s="45" customFormat="1" ht="51" outlineLevel="1">
      <c r="A1347" s="44"/>
      <c r="B1347" s="6">
        <v>1331</v>
      </c>
      <c r="C1347" s="16" t="s">
        <v>714</v>
      </c>
      <c r="D1347" s="6" t="s">
        <v>601</v>
      </c>
      <c r="E1347" s="12" t="s">
        <v>1334</v>
      </c>
      <c r="F1347" s="70" t="s">
        <v>1902</v>
      </c>
      <c r="G1347" s="70" t="s">
        <v>1335</v>
      </c>
      <c r="H1347" s="70" t="s">
        <v>1899</v>
      </c>
      <c r="I1347" s="70" t="s">
        <v>1335</v>
      </c>
      <c r="J1347" s="70" t="s">
        <v>1900</v>
      </c>
      <c r="K1347" s="70" t="s">
        <v>74</v>
      </c>
      <c r="L1347" s="70" t="s">
        <v>595</v>
      </c>
      <c r="M1347" s="12" t="s">
        <v>918</v>
      </c>
      <c r="N1347" s="26">
        <v>1</v>
      </c>
      <c r="O1347" s="57">
        <v>1607143</v>
      </c>
      <c r="P1347" s="62">
        <f t="shared" si="24"/>
        <v>1607143</v>
      </c>
      <c r="Q1347" s="6" t="s">
        <v>397</v>
      </c>
      <c r="R1347" s="6" t="s">
        <v>770</v>
      </c>
      <c r="S1347" s="38" t="s">
        <v>1179</v>
      </c>
      <c r="T1347" s="26">
        <v>0</v>
      </c>
    </row>
    <row r="1348" spans="1:20" s="45" customFormat="1" ht="51" outlineLevel="1">
      <c r="A1348" s="44"/>
      <c r="B1348" s="6">
        <v>1332</v>
      </c>
      <c r="C1348" s="16" t="s">
        <v>714</v>
      </c>
      <c r="D1348" s="6" t="s">
        <v>601</v>
      </c>
      <c r="E1348" s="12" t="s">
        <v>1336</v>
      </c>
      <c r="F1348" s="70" t="s">
        <v>1903</v>
      </c>
      <c r="G1348" s="70" t="s">
        <v>1337</v>
      </c>
      <c r="H1348" s="70" t="s">
        <v>1903</v>
      </c>
      <c r="I1348" s="70" t="s">
        <v>1337</v>
      </c>
      <c r="J1348" s="70" t="s">
        <v>1904</v>
      </c>
      <c r="K1348" s="70" t="s">
        <v>1338</v>
      </c>
      <c r="L1348" s="70" t="s">
        <v>595</v>
      </c>
      <c r="M1348" s="12" t="s">
        <v>918</v>
      </c>
      <c r="N1348" s="26">
        <v>1</v>
      </c>
      <c r="O1348" s="57">
        <f>P1348/N1348</f>
        <v>0</v>
      </c>
      <c r="P1348" s="62">
        <f>214286-214286</f>
        <v>0</v>
      </c>
      <c r="Q1348" s="6" t="s">
        <v>397</v>
      </c>
      <c r="R1348" s="6" t="s">
        <v>770</v>
      </c>
      <c r="S1348" s="38" t="s">
        <v>1179</v>
      </c>
      <c r="T1348" s="26">
        <v>0</v>
      </c>
    </row>
    <row r="1349" spans="1:20" s="45" customFormat="1" ht="36" customHeight="1" outlineLevel="1">
      <c r="A1349" s="44"/>
      <c r="B1349" s="6">
        <v>1333</v>
      </c>
      <c r="C1349" s="16" t="s">
        <v>714</v>
      </c>
      <c r="D1349" s="6" t="s">
        <v>601</v>
      </c>
      <c r="E1349" s="6" t="s">
        <v>570</v>
      </c>
      <c r="F1349" s="70" t="s">
        <v>571</v>
      </c>
      <c r="G1349" s="70" t="s">
        <v>572</v>
      </c>
      <c r="H1349" s="70" t="s">
        <v>573</v>
      </c>
      <c r="I1349" s="70" t="s">
        <v>709</v>
      </c>
      <c r="J1349" s="70" t="s">
        <v>1905</v>
      </c>
      <c r="K1349" s="70" t="s">
        <v>75</v>
      </c>
      <c r="L1349" s="70" t="s">
        <v>595</v>
      </c>
      <c r="M1349" s="12" t="s">
        <v>918</v>
      </c>
      <c r="N1349" s="26">
        <v>1</v>
      </c>
      <c r="O1349" s="57">
        <v>446429</v>
      </c>
      <c r="P1349" s="62">
        <f t="shared" si="24"/>
        <v>446429</v>
      </c>
      <c r="Q1349" s="6" t="s">
        <v>506</v>
      </c>
      <c r="R1349" s="6" t="s">
        <v>770</v>
      </c>
      <c r="S1349" s="38" t="s">
        <v>1179</v>
      </c>
      <c r="T1349" s="26">
        <v>0</v>
      </c>
    </row>
    <row r="1350" spans="1:20" s="45" customFormat="1" ht="89.25" outlineLevel="1">
      <c r="A1350" s="44"/>
      <c r="B1350" s="6">
        <v>1334</v>
      </c>
      <c r="C1350" s="36" t="s">
        <v>714</v>
      </c>
      <c r="D1350" s="43" t="s">
        <v>601</v>
      </c>
      <c r="E1350" s="12" t="s">
        <v>570</v>
      </c>
      <c r="F1350" s="70" t="s">
        <v>2061</v>
      </c>
      <c r="G1350" s="70" t="s">
        <v>572</v>
      </c>
      <c r="H1350" s="70" t="s">
        <v>2062</v>
      </c>
      <c r="I1350" s="70" t="s">
        <v>709</v>
      </c>
      <c r="J1350" s="70" t="s">
        <v>2063</v>
      </c>
      <c r="K1350" s="70" t="s">
        <v>103</v>
      </c>
      <c r="L1350" s="70" t="s">
        <v>595</v>
      </c>
      <c r="M1350" s="12" t="s">
        <v>918</v>
      </c>
      <c r="N1350" s="26">
        <v>1</v>
      </c>
      <c r="O1350" s="57">
        <v>64286</v>
      </c>
      <c r="P1350" s="62">
        <f t="shared" si="24"/>
        <v>64286</v>
      </c>
      <c r="Q1350" s="6" t="s">
        <v>519</v>
      </c>
      <c r="R1350" s="6" t="s">
        <v>770</v>
      </c>
      <c r="S1350" s="38" t="s">
        <v>2038</v>
      </c>
      <c r="T1350" s="26">
        <v>0</v>
      </c>
    </row>
    <row r="1351" spans="1:20" s="45" customFormat="1" ht="89.25" outlineLevel="1">
      <c r="A1351" s="44"/>
      <c r="B1351" s="6">
        <v>1335</v>
      </c>
      <c r="C1351" s="16" t="s">
        <v>714</v>
      </c>
      <c r="D1351" s="6" t="s">
        <v>601</v>
      </c>
      <c r="E1351" s="12" t="s">
        <v>570</v>
      </c>
      <c r="F1351" s="70" t="s">
        <v>2061</v>
      </c>
      <c r="G1351" s="70" t="s">
        <v>572</v>
      </c>
      <c r="H1351" s="70" t="s">
        <v>2062</v>
      </c>
      <c r="I1351" s="70" t="s">
        <v>709</v>
      </c>
      <c r="J1351" s="70" t="s">
        <v>2063</v>
      </c>
      <c r="K1351" s="70" t="s">
        <v>103</v>
      </c>
      <c r="L1351" s="70" t="s">
        <v>595</v>
      </c>
      <c r="M1351" s="12" t="s">
        <v>918</v>
      </c>
      <c r="N1351" s="26">
        <v>1</v>
      </c>
      <c r="O1351" s="57">
        <f>P1351/N1351</f>
        <v>0</v>
      </c>
      <c r="P1351" s="62">
        <f>64286-64286</f>
        <v>0</v>
      </c>
      <c r="Q1351" s="6" t="s">
        <v>519</v>
      </c>
      <c r="R1351" s="6" t="s">
        <v>770</v>
      </c>
      <c r="S1351" s="38" t="s">
        <v>1025</v>
      </c>
      <c r="T1351" s="6">
        <v>100</v>
      </c>
    </row>
    <row r="1352" spans="1:20" s="45" customFormat="1" ht="89.25" outlineLevel="1">
      <c r="A1352" s="44"/>
      <c r="B1352" s="6">
        <v>1336</v>
      </c>
      <c r="C1352" s="16" t="s">
        <v>714</v>
      </c>
      <c r="D1352" s="6" t="s">
        <v>601</v>
      </c>
      <c r="E1352" s="12" t="s">
        <v>570</v>
      </c>
      <c r="F1352" s="70" t="s">
        <v>2061</v>
      </c>
      <c r="G1352" s="70" t="s">
        <v>572</v>
      </c>
      <c r="H1352" s="70" t="s">
        <v>2062</v>
      </c>
      <c r="I1352" s="70" t="s">
        <v>709</v>
      </c>
      <c r="J1352" s="70" t="s">
        <v>2063</v>
      </c>
      <c r="K1352" s="70" t="s">
        <v>103</v>
      </c>
      <c r="L1352" s="70" t="s">
        <v>595</v>
      </c>
      <c r="M1352" s="12" t="s">
        <v>918</v>
      </c>
      <c r="N1352" s="26">
        <v>1</v>
      </c>
      <c r="O1352" s="57">
        <v>64286</v>
      </c>
      <c r="P1352" s="62">
        <f t="shared" si="24"/>
        <v>64286</v>
      </c>
      <c r="Q1352" s="6" t="s">
        <v>703</v>
      </c>
      <c r="R1352" s="6" t="s">
        <v>770</v>
      </c>
      <c r="S1352" s="38" t="s">
        <v>793</v>
      </c>
      <c r="T1352" s="6">
        <v>0</v>
      </c>
    </row>
    <row r="1353" spans="1:20" s="45" customFormat="1" ht="89.25" outlineLevel="1">
      <c r="B1353" s="6">
        <v>1337</v>
      </c>
      <c r="C1353" s="16" t="s">
        <v>714</v>
      </c>
      <c r="D1353" s="6" t="s">
        <v>601</v>
      </c>
      <c r="E1353" s="12" t="s">
        <v>570</v>
      </c>
      <c r="F1353" s="70" t="s">
        <v>2061</v>
      </c>
      <c r="G1353" s="70" t="s">
        <v>572</v>
      </c>
      <c r="H1353" s="70" t="s">
        <v>2062</v>
      </c>
      <c r="I1353" s="70" t="s">
        <v>709</v>
      </c>
      <c r="J1353" s="70" t="s">
        <v>2063</v>
      </c>
      <c r="K1353" s="70" t="s">
        <v>103</v>
      </c>
      <c r="L1353" s="70" t="s">
        <v>595</v>
      </c>
      <c r="M1353" s="12" t="s">
        <v>918</v>
      </c>
      <c r="N1353" s="26">
        <v>1</v>
      </c>
      <c r="O1353" s="57">
        <f>P1353/N1353</f>
        <v>0</v>
      </c>
      <c r="P1353" s="62">
        <f>64286-64286</f>
        <v>0</v>
      </c>
      <c r="Q1353" s="6" t="s">
        <v>395</v>
      </c>
      <c r="R1353" s="6" t="s">
        <v>770</v>
      </c>
      <c r="S1353" s="38" t="s">
        <v>2035</v>
      </c>
      <c r="T1353" s="26">
        <v>100</v>
      </c>
    </row>
    <row r="1354" spans="1:20" s="45" customFormat="1" ht="89.25" outlineLevel="1">
      <c r="A1354" s="44"/>
      <c r="B1354" s="6">
        <v>1338</v>
      </c>
      <c r="C1354" s="16" t="s">
        <v>714</v>
      </c>
      <c r="D1354" s="6" t="s">
        <v>601</v>
      </c>
      <c r="E1354" s="12" t="s">
        <v>570</v>
      </c>
      <c r="F1354" s="70" t="s">
        <v>2061</v>
      </c>
      <c r="G1354" s="70" t="s">
        <v>572</v>
      </c>
      <c r="H1354" s="70" t="s">
        <v>2062</v>
      </c>
      <c r="I1354" s="70" t="s">
        <v>709</v>
      </c>
      <c r="J1354" s="70" t="s">
        <v>2063</v>
      </c>
      <c r="K1354" s="70" t="s">
        <v>103</v>
      </c>
      <c r="L1354" s="70" t="s">
        <v>595</v>
      </c>
      <c r="M1354" s="12" t="s">
        <v>918</v>
      </c>
      <c r="N1354" s="26">
        <v>1</v>
      </c>
      <c r="O1354" s="57">
        <f>P1354/N1354</f>
        <v>0</v>
      </c>
      <c r="P1354" s="62">
        <f>64286-64286</f>
        <v>0</v>
      </c>
      <c r="Q1354" s="6" t="s">
        <v>395</v>
      </c>
      <c r="R1354" s="6" t="s">
        <v>770</v>
      </c>
      <c r="S1354" s="38" t="s">
        <v>2030</v>
      </c>
      <c r="T1354" s="26">
        <v>100</v>
      </c>
    </row>
    <row r="1355" spans="1:20" s="14" customFormat="1" ht="89.25">
      <c r="A1355" s="17"/>
      <c r="B1355" s="6">
        <v>1339</v>
      </c>
      <c r="C1355" s="16" t="s">
        <v>714</v>
      </c>
      <c r="D1355" s="6" t="s">
        <v>601</v>
      </c>
      <c r="E1355" s="12" t="s">
        <v>570</v>
      </c>
      <c r="F1355" s="70" t="s">
        <v>2061</v>
      </c>
      <c r="G1355" s="70" t="s">
        <v>572</v>
      </c>
      <c r="H1355" s="70" t="s">
        <v>2062</v>
      </c>
      <c r="I1355" s="70" t="s">
        <v>709</v>
      </c>
      <c r="J1355" s="70" t="s">
        <v>2063</v>
      </c>
      <c r="K1355" s="70" t="s">
        <v>103</v>
      </c>
      <c r="L1355" s="70" t="s">
        <v>595</v>
      </c>
      <c r="M1355" s="12" t="s">
        <v>918</v>
      </c>
      <c r="N1355" s="26">
        <v>1</v>
      </c>
      <c r="O1355" s="57">
        <f>P1355/N1355</f>
        <v>0</v>
      </c>
      <c r="P1355" s="62">
        <f>64286-64286</f>
        <v>0</v>
      </c>
      <c r="Q1355" s="6" t="s">
        <v>703</v>
      </c>
      <c r="R1355" s="6" t="s">
        <v>770</v>
      </c>
      <c r="S1355" s="38" t="s">
        <v>2031</v>
      </c>
      <c r="T1355" s="26">
        <v>100</v>
      </c>
    </row>
    <row r="1356" spans="1:20" ht="89.25" outlineLevel="1">
      <c r="B1356" s="6">
        <v>1340</v>
      </c>
      <c r="C1356" s="16" t="s">
        <v>714</v>
      </c>
      <c r="D1356" s="6" t="s">
        <v>601</v>
      </c>
      <c r="E1356" s="12" t="s">
        <v>570</v>
      </c>
      <c r="F1356" s="70" t="s">
        <v>2061</v>
      </c>
      <c r="G1356" s="70" t="s">
        <v>572</v>
      </c>
      <c r="H1356" s="70" t="s">
        <v>2062</v>
      </c>
      <c r="I1356" s="70" t="s">
        <v>709</v>
      </c>
      <c r="J1356" s="70" t="s">
        <v>2063</v>
      </c>
      <c r="K1356" s="70" t="s">
        <v>103</v>
      </c>
      <c r="L1356" s="70" t="s">
        <v>595</v>
      </c>
      <c r="M1356" s="12" t="s">
        <v>918</v>
      </c>
      <c r="N1356" s="26">
        <v>1</v>
      </c>
      <c r="O1356" s="57">
        <v>64286</v>
      </c>
      <c r="P1356" s="62">
        <f t="shared" si="24"/>
        <v>64286</v>
      </c>
      <c r="Q1356" s="6" t="s">
        <v>519</v>
      </c>
      <c r="R1356" s="6" t="s">
        <v>770</v>
      </c>
      <c r="S1356" s="38" t="s">
        <v>637</v>
      </c>
      <c r="T1356" s="26">
        <v>100</v>
      </c>
    </row>
    <row r="1357" spans="1:20" ht="89.25" outlineLevel="1">
      <c r="B1357" s="6">
        <v>1341</v>
      </c>
      <c r="C1357" s="16" t="s">
        <v>714</v>
      </c>
      <c r="D1357" s="6" t="s">
        <v>601</v>
      </c>
      <c r="E1357" s="12" t="s">
        <v>570</v>
      </c>
      <c r="F1357" s="70" t="s">
        <v>2061</v>
      </c>
      <c r="G1357" s="70" t="s">
        <v>572</v>
      </c>
      <c r="H1357" s="70" t="s">
        <v>2062</v>
      </c>
      <c r="I1357" s="70" t="s">
        <v>709</v>
      </c>
      <c r="J1357" s="70" t="s">
        <v>2063</v>
      </c>
      <c r="K1357" s="70" t="s">
        <v>103</v>
      </c>
      <c r="L1357" s="70" t="s">
        <v>595</v>
      </c>
      <c r="M1357" s="12" t="s">
        <v>918</v>
      </c>
      <c r="N1357" s="26">
        <v>1</v>
      </c>
      <c r="O1357" s="57">
        <v>64286</v>
      </c>
      <c r="P1357" s="62">
        <f t="shared" si="24"/>
        <v>64286</v>
      </c>
      <c r="Q1357" s="6" t="s">
        <v>510</v>
      </c>
      <c r="R1357" s="6" t="s">
        <v>770</v>
      </c>
      <c r="S1357" s="38">
        <v>311000000</v>
      </c>
      <c r="T1357" s="26">
        <v>0</v>
      </c>
    </row>
    <row r="1358" spans="1:20" s="45" customFormat="1" ht="93.75" customHeight="1" outlineLevel="1">
      <c r="A1358" s="44"/>
      <c r="B1358" s="6">
        <v>1342</v>
      </c>
      <c r="C1358" s="16" t="s">
        <v>714</v>
      </c>
      <c r="D1358" s="6" t="s">
        <v>601</v>
      </c>
      <c r="E1358" s="12" t="s">
        <v>570</v>
      </c>
      <c r="F1358" s="70" t="s">
        <v>2061</v>
      </c>
      <c r="G1358" s="70" t="s">
        <v>572</v>
      </c>
      <c r="H1358" s="70" t="s">
        <v>2062</v>
      </c>
      <c r="I1358" s="70" t="s">
        <v>709</v>
      </c>
      <c r="J1358" s="70" t="s">
        <v>2063</v>
      </c>
      <c r="K1358" s="70" t="s">
        <v>103</v>
      </c>
      <c r="L1358" s="70" t="s">
        <v>595</v>
      </c>
      <c r="M1358" s="12" t="s">
        <v>918</v>
      </c>
      <c r="N1358" s="26">
        <v>1</v>
      </c>
      <c r="O1358" s="57">
        <f>P1358/N1358</f>
        <v>0</v>
      </c>
      <c r="P1358" s="62">
        <f>64286-64286</f>
        <v>0</v>
      </c>
      <c r="Q1358" s="6" t="s">
        <v>506</v>
      </c>
      <c r="R1358" s="6" t="s">
        <v>770</v>
      </c>
      <c r="S1358" s="38" t="s">
        <v>2032</v>
      </c>
      <c r="T1358" s="6">
        <v>0</v>
      </c>
    </row>
    <row r="1359" spans="1:20" s="45" customFormat="1" ht="97.5" customHeight="1" outlineLevel="1">
      <c r="A1359" s="44"/>
      <c r="B1359" s="6">
        <v>1343</v>
      </c>
      <c r="C1359" s="16" t="s">
        <v>714</v>
      </c>
      <c r="D1359" s="6" t="s">
        <v>601</v>
      </c>
      <c r="E1359" s="12" t="s">
        <v>570</v>
      </c>
      <c r="F1359" s="70" t="s">
        <v>2061</v>
      </c>
      <c r="G1359" s="70" t="s">
        <v>572</v>
      </c>
      <c r="H1359" s="70" t="s">
        <v>2062</v>
      </c>
      <c r="I1359" s="70" t="s">
        <v>709</v>
      </c>
      <c r="J1359" s="70" t="s">
        <v>2063</v>
      </c>
      <c r="K1359" s="70" t="s">
        <v>103</v>
      </c>
      <c r="L1359" s="70" t="s">
        <v>595</v>
      </c>
      <c r="M1359" s="12" t="s">
        <v>918</v>
      </c>
      <c r="N1359" s="26">
        <v>1</v>
      </c>
      <c r="O1359" s="57">
        <f>P1359/N1359</f>
        <v>0</v>
      </c>
      <c r="P1359" s="62">
        <f>64286-64286</f>
        <v>0</v>
      </c>
      <c r="Q1359" s="6" t="s">
        <v>395</v>
      </c>
      <c r="R1359" s="6" t="s">
        <v>770</v>
      </c>
      <c r="S1359" s="38">
        <v>351000000</v>
      </c>
      <c r="T1359" s="26">
        <v>100</v>
      </c>
    </row>
    <row r="1360" spans="1:20" ht="96" customHeight="1" outlineLevel="1">
      <c r="B1360" s="6">
        <v>1344</v>
      </c>
      <c r="C1360" s="16" t="s">
        <v>714</v>
      </c>
      <c r="D1360" s="6" t="s">
        <v>601</v>
      </c>
      <c r="E1360" s="12" t="s">
        <v>570</v>
      </c>
      <c r="F1360" s="70" t="s">
        <v>2061</v>
      </c>
      <c r="G1360" s="70" t="s">
        <v>572</v>
      </c>
      <c r="H1360" s="70" t="s">
        <v>2062</v>
      </c>
      <c r="I1360" s="70" t="s">
        <v>709</v>
      </c>
      <c r="J1360" s="70" t="s">
        <v>2063</v>
      </c>
      <c r="K1360" s="70" t="s">
        <v>103</v>
      </c>
      <c r="L1360" s="70" t="s">
        <v>595</v>
      </c>
      <c r="M1360" s="12" t="s">
        <v>918</v>
      </c>
      <c r="N1360" s="26">
        <v>1</v>
      </c>
      <c r="O1360" s="57">
        <f>P1360/N1360</f>
        <v>0</v>
      </c>
      <c r="P1360" s="62">
        <f>64286-64286</f>
        <v>0</v>
      </c>
      <c r="Q1360" s="6" t="s">
        <v>870</v>
      </c>
      <c r="R1360" s="6" t="s">
        <v>1059</v>
      </c>
      <c r="S1360" s="38" t="s">
        <v>929</v>
      </c>
      <c r="T1360" s="26">
        <v>100</v>
      </c>
    </row>
    <row r="1361" spans="1:20" s="45" customFormat="1" ht="89.25" outlineLevel="1">
      <c r="A1361" s="44"/>
      <c r="B1361" s="6">
        <v>1345</v>
      </c>
      <c r="C1361" s="16" t="s">
        <v>714</v>
      </c>
      <c r="D1361" s="6" t="s">
        <v>601</v>
      </c>
      <c r="E1361" s="12" t="s">
        <v>570</v>
      </c>
      <c r="F1361" s="70" t="s">
        <v>2061</v>
      </c>
      <c r="G1361" s="70" t="s">
        <v>572</v>
      </c>
      <c r="H1361" s="70" t="s">
        <v>2062</v>
      </c>
      <c r="I1361" s="70" t="s">
        <v>709</v>
      </c>
      <c r="J1361" s="70" t="s">
        <v>2063</v>
      </c>
      <c r="K1361" s="70" t="s">
        <v>103</v>
      </c>
      <c r="L1361" s="70" t="s">
        <v>595</v>
      </c>
      <c r="M1361" s="12" t="s">
        <v>918</v>
      </c>
      <c r="N1361" s="26">
        <v>1</v>
      </c>
      <c r="O1361" s="57">
        <v>64286</v>
      </c>
      <c r="P1361" s="62">
        <f t="shared" si="24"/>
        <v>64286</v>
      </c>
      <c r="Q1361" s="6" t="s">
        <v>505</v>
      </c>
      <c r="R1361" s="6" t="s">
        <v>398</v>
      </c>
      <c r="S1361" s="38">
        <v>431000000</v>
      </c>
      <c r="T1361" s="26">
        <v>0</v>
      </c>
    </row>
    <row r="1362" spans="1:20" s="45" customFormat="1" ht="89.25" outlineLevel="1">
      <c r="A1362" s="44"/>
      <c r="B1362" s="6">
        <v>1346</v>
      </c>
      <c r="C1362" s="36" t="s">
        <v>714</v>
      </c>
      <c r="D1362" s="43" t="s">
        <v>601</v>
      </c>
      <c r="E1362" s="12" t="s">
        <v>570</v>
      </c>
      <c r="F1362" s="70" t="s">
        <v>2061</v>
      </c>
      <c r="G1362" s="70" t="s">
        <v>572</v>
      </c>
      <c r="H1362" s="70" t="s">
        <v>2062</v>
      </c>
      <c r="I1362" s="70" t="s">
        <v>709</v>
      </c>
      <c r="J1362" s="70" t="s">
        <v>2063</v>
      </c>
      <c r="K1362" s="70" t="s">
        <v>103</v>
      </c>
      <c r="L1362" s="70" t="s">
        <v>595</v>
      </c>
      <c r="M1362" s="12" t="s">
        <v>918</v>
      </c>
      <c r="N1362" s="65">
        <v>1</v>
      </c>
      <c r="O1362" s="57">
        <v>64286</v>
      </c>
      <c r="P1362" s="62">
        <f t="shared" si="24"/>
        <v>64286</v>
      </c>
      <c r="Q1362" s="6" t="s">
        <v>510</v>
      </c>
      <c r="R1362" s="6" t="s">
        <v>770</v>
      </c>
      <c r="S1362" s="38" t="s">
        <v>719</v>
      </c>
      <c r="T1362" s="26">
        <v>0</v>
      </c>
    </row>
    <row r="1363" spans="1:20" s="39" customFormat="1" ht="89.25">
      <c r="B1363" s="6">
        <v>1347</v>
      </c>
      <c r="C1363" s="16" t="s">
        <v>714</v>
      </c>
      <c r="D1363" s="6" t="s">
        <v>601</v>
      </c>
      <c r="E1363" s="12" t="s">
        <v>570</v>
      </c>
      <c r="F1363" s="70" t="s">
        <v>2061</v>
      </c>
      <c r="G1363" s="70" t="s">
        <v>572</v>
      </c>
      <c r="H1363" s="70" t="s">
        <v>2062</v>
      </c>
      <c r="I1363" s="70" t="s">
        <v>709</v>
      </c>
      <c r="J1363" s="70" t="s">
        <v>2063</v>
      </c>
      <c r="K1363" s="70" t="s">
        <v>103</v>
      </c>
      <c r="L1363" s="70" t="s">
        <v>595</v>
      </c>
      <c r="M1363" s="12" t="s">
        <v>918</v>
      </c>
      <c r="N1363" s="26">
        <v>1</v>
      </c>
      <c r="O1363" s="57">
        <f>P1363/N1363</f>
        <v>0</v>
      </c>
      <c r="P1363" s="62">
        <f>64286-21071-43215</f>
        <v>0</v>
      </c>
      <c r="Q1363" s="6" t="s">
        <v>616</v>
      </c>
      <c r="R1363" s="6" t="s">
        <v>770</v>
      </c>
      <c r="S1363" s="38">
        <v>551000000</v>
      </c>
      <c r="T1363" s="26">
        <v>0</v>
      </c>
    </row>
    <row r="1364" spans="1:20" s="45" customFormat="1" ht="89.25" outlineLevel="1">
      <c r="A1364" s="44"/>
      <c r="B1364" s="6">
        <v>1348</v>
      </c>
      <c r="C1364" s="16" t="s">
        <v>945</v>
      </c>
      <c r="D1364" s="6" t="s">
        <v>601</v>
      </c>
      <c r="E1364" s="12" t="s">
        <v>570</v>
      </c>
      <c r="F1364" s="70" t="s">
        <v>2061</v>
      </c>
      <c r="G1364" s="70" t="s">
        <v>572</v>
      </c>
      <c r="H1364" s="70" t="s">
        <v>2062</v>
      </c>
      <c r="I1364" s="70" t="s">
        <v>709</v>
      </c>
      <c r="J1364" s="70" t="s">
        <v>2063</v>
      </c>
      <c r="K1364" s="70" t="s">
        <v>103</v>
      </c>
      <c r="L1364" s="70" t="s">
        <v>595</v>
      </c>
      <c r="M1364" s="12" t="s">
        <v>918</v>
      </c>
      <c r="N1364" s="26">
        <v>1</v>
      </c>
      <c r="O1364" s="57">
        <v>64286</v>
      </c>
      <c r="P1364" s="62">
        <f t="shared" si="24"/>
        <v>64286</v>
      </c>
      <c r="Q1364" s="6" t="s">
        <v>519</v>
      </c>
      <c r="R1364" s="6" t="s">
        <v>770</v>
      </c>
      <c r="S1364" s="38">
        <v>591000000</v>
      </c>
      <c r="T1364" s="26">
        <v>0</v>
      </c>
    </row>
    <row r="1365" spans="1:20" s="45" customFormat="1" ht="89.25" outlineLevel="1">
      <c r="A1365" s="44"/>
      <c r="B1365" s="6">
        <v>1349</v>
      </c>
      <c r="C1365" s="16" t="s">
        <v>714</v>
      </c>
      <c r="D1365" s="6" t="s">
        <v>601</v>
      </c>
      <c r="E1365" s="12" t="s">
        <v>570</v>
      </c>
      <c r="F1365" s="70" t="s">
        <v>2061</v>
      </c>
      <c r="G1365" s="70" t="s">
        <v>572</v>
      </c>
      <c r="H1365" s="70" t="s">
        <v>2062</v>
      </c>
      <c r="I1365" s="70" t="s">
        <v>709</v>
      </c>
      <c r="J1365" s="70" t="s">
        <v>2063</v>
      </c>
      <c r="K1365" s="70" t="s">
        <v>103</v>
      </c>
      <c r="L1365" s="70" t="s">
        <v>595</v>
      </c>
      <c r="M1365" s="12" t="s">
        <v>918</v>
      </c>
      <c r="N1365" s="26">
        <v>1</v>
      </c>
      <c r="O1365" s="57">
        <f>P1365</f>
        <v>0</v>
      </c>
      <c r="P1365" s="62">
        <f>64286-64286</f>
        <v>0</v>
      </c>
      <c r="Q1365" s="6" t="s">
        <v>397</v>
      </c>
      <c r="R1365" s="6" t="s">
        <v>770</v>
      </c>
      <c r="S1365" s="38" t="s">
        <v>2037</v>
      </c>
      <c r="T1365" s="6">
        <v>100</v>
      </c>
    </row>
    <row r="1366" spans="1:20" s="45" customFormat="1" ht="51" outlineLevel="1">
      <c r="A1366" s="44"/>
      <c r="B1366" s="6">
        <v>1350</v>
      </c>
      <c r="C1366" s="36" t="s">
        <v>714</v>
      </c>
      <c r="D1366" s="43" t="s">
        <v>601</v>
      </c>
      <c r="E1366" s="38" t="s">
        <v>574</v>
      </c>
      <c r="F1366" s="70" t="s">
        <v>575</v>
      </c>
      <c r="G1366" s="70" t="s">
        <v>576</v>
      </c>
      <c r="H1366" s="70" t="s">
        <v>577</v>
      </c>
      <c r="I1366" s="70" t="s">
        <v>578</v>
      </c>
      <c r="J1366" s="70" t="s">
        <v>1538</v>
      </c>
      <c r="K1366" s="70" t="s">
        <v>76</v>
      </c>
      <c r="L1366" s="70" t="s">
        <v>595</v>
      </c>
      <c r="M1366" s="12" t="s">
        <v>918</v>
      </c>
      <c r="N1366" s="26">
        <v>1</v>
      </c>
      <c r="O1366" s="57">
        <v>137571</v>
      </c>
      <c r="P1366" s="62">
        <f t="shared" si="24"/>
        <v>137571</v>
      </c>
      <c r="Q1366" s="6" t="s">
        <v>397</v>
      </c>
      <c r="R1366" s="6" t="s">
        <v>770</v>
      </c>
      <c r="S1366" s="38" t="s">
        <v>2038</v>
      </c>
      <c r="T1366" s="26">
        <v>100</v>
      </c>
    </row>
    <row r="1367" spans="1:20" s="45" customFormat="1" ht="51" outlineLevel="1">
      <c r="A1367" s="44"/>
      <c r="B1367" s="6">
        <v>1351</v>
      </c>
      <c r="C1367" s="16" t="s">
        <v>714</v>
      </c>
      <c r="D1367" s="6" t="s">
        <v>601</v>
      </c>
      <c r="E1367" s="38" t="s">
        <v>574</v>
      </c>
      <c r="F1367" s="70" t="s">
        <v>575</v>
      </c>
      <c r="G1367" s="70" t="s">
        <v>576</v>
      </c>
      <c r="H1367" s="70" t="s">
        <v>577</v>
      </c>
      <c r="I1367" s="70" t="s">
        <v>578</v>
      </c>
      <c r="J1367" s="70" t="s">
        <v>1538</v>
      </c>
      <c r="K1367" s="70" t="s">
        <v>76</v>
      </c>
      <c r="L1367" s="70" t="s">
        <v>595</v>
      </c>
      <c r="M1367" s="12" t="s">
        <v>918</v>
      </c>
      <c r="N1367" s="26">
        <v>1</v>
      </c>
      <c r="O1367" s="57">
        <v>267857</v>
      </c>
      <c r="P1367" s="62">
        <f t="shared" si="24"/>
        <v>267857</v>
      </c>
      <c r="Q1367" s="6" t="s">
        <v>397</v>
      </c>
      <c r="R1367" s="6" t="s">
        <v>770</v>
      </c>
      <c r="S1367" s="38" t="s">
        <v>1025</v>
      </c>
      <c r="T1367" s="6">
        <v>0</v>
      </c>
    </row>
    <row r="1368" spans="1:20" s="45" customFormat="1" ht="51" outlineLevel="1">
      <c r="A1368" s="44"/>
      <c r="B1368" s="6">
        <v>1352</v>
      </c>
      <c r="C1368" s="16" t="s">
        <v>714</v>
      </c>
      <c r="D1368" s="6" t="s">
        <v>601</v>
      </c>
      <c r="E1368" s="38" t="s">
        <v>574</v>
      </c>
      <c r="F1368" s="70" t="s">
        <v>575</v>
      </c>
      <c r="G1368" s="70" t="s">
        <v>576</v>
      </c>
      <c r="H1368" s="70" t="s">
        <v>577</v>
      </c>
      <c r="I1368" s="70" t="s">
        <v>578</v>
      </c>
      <c r="J1368" s="70" t="s">
        <v>1538</v>
      </c>
      <c r="K1368" s="70" t="s">
        <v>76</v>
      </c>
      <c r="L1368" s="70" t="s">
        <v>595</v>
      </c>
      <c r="M1368" s="12" t="s">
        <v>918</v>
      </c>
      <c r="N1368" s="26">
        <v>1</v>
      </c>
      <c r="O1368" s="57">
        <v>144643</v>
      </c>
      <c r="P1368" s="62">
        <f t="shared" si="24"/>
        <v>144643</v>
      </c>
      <c r="Q1368" s="6" t="s">
        <v>397</v>
      </c>
      <c r="R1368" s="6" t="s">
        <v>770</v>
      </c>
      <c r="S1368" s="38" t="s">
        <v>793</v>
      </c>
      <c r="T1368" s="6">
        <v>0</v>
      </c>
    </row>
    <row r="1369" spans="1:20" s="45" customFormat="1" ht="51" outlineLevel="1">
      <c r="A1369" s="44"/>
      <c r="B1369" s="6">
        <v>1353</v>
      </c>
      <c r="C1369" s="16" t="s">
        <v>714</v>
      </c>
      <c r="D1369" s="6" t="s">
        <v>601</v>
      </c>
      <c r="E1369" s="38" t="s">
        <v>574</v>
      </c>
      <c r="F1369" s="70" t="s">
        <v>575</v>
      </c>
      <c r="G1369" s="70" t="s">
        <v>576</v>
      </c>
      <c r="H1369" s="70" t="s">
        <v>577</v>
      </c>
      <c r="I1369" s="70" t="s">
        <v>578</v>
      </c>
      <c r="J1369" s="70" t="s">
        <v>1538</v>
      </c>
      <c r="K1369" s="70" t="s">
        <v>76</v>
      </c>
      <c r="L1369" s="70" t="s">
        <v>595</v>
      </c>
      <c r="M1369" s="12" t="s">
        <v>918</v>
      </c>
      <c r="N1369" s="26">
        <v>1</v>
      </c>
      <c r="O1369" s="57">
        <v>308036</v>
      </c>
      <c r="P1369" s="62">
        <f t="shared" si="24"/>
        <v>308036</v>
      </c>
      <c r="Q1369" s="6" t="s">
        <v>397</v>
      </c>
      <c r="R1369" s="6" t="s">
        <v>770</v>
      </c>
      <c r="S1369" s="38" t="s">
        <v>2030</v>
      </c>
      <c r="T1369" s="26">
        <v>100</v>
      </c>
    </row>
    <row r="1370" spans="1:20" s="45" customFormat="1" ht="42.75" customHeight="1" outlineLevel="1">
      <c r="B1370" s="6">
        <v>1354</v>
      </c>
      <c r="C1370" s="16" t="s">
        <v>714</v>
      </c>
      <c r="D1370" s="6" t="s">
        <v>601</v>
      </c>
      <c r="E1370" s="38" t="s">
        <v>574</v>
      </c>
      <c r="F1370" s="70" t="s">
        <v>575</v>
      </c>
      <c r="G1370" s="70" t="s">
        <v>576</v>
      </c>
      <c r="H1370" s="70" t="s">
        <v>577</v>
      </c>
      <c r="I1370" s="70" t="s">
        <v>578</v>
      </c>
      <c r="J1370" s="70" t="s">
        <v>1538</v>
      </c>
      <c r="K1370" s="70" t="s">
        <v>76</v>
      </c>
      <c r="L1370" s="70" t="s">
        <v>595</v>
      </c>
      <c r="M1370" s="12" t="s">
        <v>918</v>
      </c>
      <c r="N1370" s="26">
        <v>1</v>
      </c>
      <c r="O1370" s="57">
        <v>285714</v>
      </c>
      <c r="P1370" s="62">
        <f t="shared" si="24"/>
        <v>285714</v>
      </c>
      <c r="Q1370" s="6" t="s">
        <v>397</v>
      </c>
      <c r="R1370" s="16" t="s">
        <v>1476</v>
      </c>
      <c r="S1370" s="38" t="s">
        <v>2035</v>
      </c>
      <c r="T1370" s="26">
        <v>100</v>
      </c>
    </row>
    <row r="1371" spans="1:20" s="14" customFormat="1" ht="63.75">
      <c r="A1371" s="17"/>
      <c r="B1371" s="6">
        <v>1355</v>
      </c>
      <c r="C1371" s="16" t="s">
        <v>714</v>
      </c>
      <c r="D1371" s="6" t="s">
        <v>601</v>
      </c>
      <c r="E1371" s="38" t="s">
        <v>574</v>
      </c>
      <c r="F1371" s="70" t="s">
        <v>575</v>
      </c>
      <c r="G1371" s="70" t="s">
        <v>576</v>
      </c>
      <c r="H1371" s="70" t="s">
        <v>577</v>
      </c>
      <c r="I1371" s="70" t="s">
        <v>578</v>
      </c>
      <c r="J1371" s="70" t="s">
        <v>1538</v>
      </c>
      <c r="K1371" s="70" t="s">
        <v>76</v>
      </c>
      <c r="L1371" s="70" t="s">
        <v>595</v>
      </c>
      <c r="M1371" s="12" t="s">
        <v>918</v>
      </c>
      <c r="N1371" s="26">
        <v>1</v>
      </c>
      <c r="O1371" s="57">
        <v>150000</v>
      </c>
      <c r="P1371" s="62">
        <f t="shared" si="24"/>
        <v>150000</v>
      </c>
      <c r="Q1371" s="6" t="s">
        <v>395</v>
      </c>
      <c r="R1371" s="16" t="s">
        <v>1476</v>
      </c>
      <c r="S1371" s="38" t="s">
        <v>2031</v>
      </c>
      <c r="T1371" s="26">
        <v>100</v>
      </c>
    </row>
    <row r="1372" spans="1:20" ht="51" outlineLevel="1">
      <c r="B1372" s="6">
        <v>1356</v>
      </c>
      <c r="C1372" s="16" t="s">
        <v>714</v>
      </c>
      <c r="D1372" s="6" t="s">
        <v>601</v>
      </c>
      <c r="E1372" s="38" t="s">
        <v>574</v>
      </c>
      <c r="F1372" s="70" t="s">
        <v>575</v>
      </c>
      <c r="G1372" s="70" t="s">
        <v>576</v>
      </c>
      <c r="H1372" s="70" t="s">
        <v>577</v>
      </c>
      <c r="I1372" s="70" t="s">
        <v>578</v>
      </c>
      <c r="J1372" s="70" t="s">
        <v>1538</v>
      </c>
      <c r="K1372" s="70" t="s">
        <v>76</v>
      </c>
      <c r="L1372" s="70" t="s">
        <v>595</v>
      </c>
      <c r="M1372" s="12" t="s">
        <v>918</v>
      </c>
      <c r="N1372" s="26">
        <v>1</v>
      </c>
      <c r="O1372" s="57">
        <v>152000</v>
      </c>
      <c r="P1372" s="62">
        <f t="shared" si="24"/>
        <v>152000</v>
      </c>
      <c r="Q1372" s="6" t="s">
        <v>397</v>
      </c>
      <c r="R1372" s="6" t="s">
        <v>770</v>
      </c>
      <c r="S1372" s="38" t="s">
        <v>637</v>
      </c>
      <c r="T1372" s="26">
        <v>100</v>
      </c>
    </row>
    <row r="1373" spans="1:20" ht="51" outlineLevel="1">
      <c r="B1373" s="6">
        <v>1357</v>
      </c>
      <c r="C1373" s="16" t="s">
        <v>714</v>
      </c>
      <c r="D1373" s="6" t="s">
        <v>601</v>
      </c>
      <c r="E1373" s="38" t="s">
        <v>574</v>
      </c>
      <c r="F1373" s="70" t="s">
        <v>575</v>
      </c>
      <c r="G1373" s="70" t="s">
        <v>576</v>
      </c>
      <c r="H1373" s="70" t="s">
        <v>577</v>
      </c>
      <c r="I1373" s="70" t="s">
        <v>578</v>
      </c>
      <c r="J1373" s="70" t="s">
        <v>1538</v>
      </c>
      <c r="K1373" s="70" t="s">
        <v>76</v>
      </c>
      <c r="L1373" s="70" t="s">
        <v>595</v>
      </c>
      <c r="M1373" s="12" t="s">
        <v>918</v>
      </c>
      <c r="N1373" s="26">
        <v>1</v>
      </c>
      <c r="O1373" s="57">
        <v>128571</v>
      </c>
      <c r="P1373" s="62">
        <f t="shared" si="24"/>
        <v>128571</v>
      </c>
      <c r="Q1373" s="6" t="s">
        <v>397</v>
      </c>
      <c r="R1373" s="6" t="s">
        <v>770</v>
      </c>
      <c r="S1373" s="38">
        <v>311000000</v>
      </c>
      <c r="T1373" s="26">
        <v>100</v>
      </c>
    </row>
    <row r="1374" spans="1:20" s="45" customFormat="1" ht="51" outlineLevel="1">
      <c r="A1374" s="44"/>
      <c r="B1374" s="6">
        <v>1358</v>
      </c>
      <c r="C1374" s="16" t="s">
        <v>714</v>
      </c>
      <c r="D1374" s="6" t="s">
        <v>601</v>
      </c>
      <c r="E1374" s="38" t="s">
        <v>574</v>
      </c>
      <c r="F1374" s="70" t="s">
        <v>575</v>
      </c>
      <c r="G1374" s="70" t="s">
        <v>576</v>
      </c>
      <c r="H1374" s="70" t="s">
        <v>577</v>
      </c>
      <c r="I1374" s="70" t="s">
        <v>578</v>
      </c>
      <c r="J1374" s="70" t="s">
        <v>1538</v>
      </c>
      <c r="K1374" s="70" t="s">
        <v>76</v>
      </c>
      <c r="L1374" s="70" t="s">
        <v>595</v>
      </c>
      <c r="M1374" s="12" t="s">
        <v>918</v>
      </c>
      <c r="N1374" s="26">
        <v>1</v>
      </c>
      <c r="O1374" s="57">
        <v>82143</v>
      </c>
      <c r="P1374" s="62">
        <f t="shared" si="24"/>
        <v>82143</v>
      </c>
      <c r="Q1374" s="6" t="s">
        <v>397</v>
      </c>
      <c r="R1374" s="6" t="s">
        <v>770</v>
      </c>
      <c r="S1374" s="38" t="s">
        <v>2032</v>
      </c>
      <c r="T1374" s="6">
        <v>30</v>
      </c>
    </row>
    <row r="1375" spans="1:20" s="45" customFormat="1" ht="63.75" outlineLevel="1">
      <c r="A1375" s="44"/>
      <c r="B1375" s="6">
        <v>1359</v>
      </c>
      <c r="C1375" s="16" t="s">
        <v>714</v>
      </c>
      <c r="D1375" s="6" t="s">
        <v>601</v>
      </c>
      <c r="E1375" s="38" t="s">
        <v>574</v>
      </c>
      <c r="F1375" s="70" t="s">
        <v>575</v>
      </c>
      <c r="G1375" s="70" t="s">
        <v>576</v>
      </c>
      <c r="H1375" s="70" t="s">
        <v>577</v>
      </c>
      <c r="I1375" s="70" t="s">
        <v>578</v>
      </c>
      <c r="J1375" s="70" t="s">
        <v>1538</v>
      </c>
      <c r="K1375" s="70" t="s">
        <v>76</v>
      </c>
      <c r="L1375" s="70" t="s">
        <v>595</v>
      </c>
      <c r="M1375" s="12" t="s">
        <v>918</v>
      </c>
      <c r="N1375" s="26">
        <v>1</v>
      </c>
      <c r="O1375" s="57">
        <v>89286</v>
      </c>
      <c r="P1375" s="62">
        <f t="shared" si="24"/>
        <v>89286</v>
      </c>
      <c r="Q1375" s="6" t="s">
        <v>397</v>
      </c>
      <c r="R1375" s="16" t="s">
        <v>1476</v>
      </c>
      <c r="S1375" s="38">
        <v>351000000</v>
      </c>
      <c r="T1375" s="26">
        <v>100</v>
      </c>
    </row>
    <row r="1376" spans="1:20" ht="51" outlineLevel="1">
      <c r="B1376" s="6">
        <v>1360</v>
      </c>
      <c r="C1376" s="16" t="s">
        <v>714</v>
      </c>
      <c r="D1376" s="6" t="s">
        <v>601</v>
      </c>
      <c r="E1376" s="38" t="s">
        <v>574</v>
      </c>
      <c r="F1376" s="70" t="s">
        <v>575</v>
      </c>
      <c r="G1376" s="70" t="s">
        <v>576</v>
      </c>
      <c r="H1376" s="70" t="s">
        <v>577</v>
      </c>
      <c r="I1376" s="70" t="s">
        <v>578</v>
      </c>
      <c r="J1376" s="70" t="s">
        <v>1538</v>
      </c>
      <c r="K1376" s="70" t="s">
        <v>76</v>
      </c>
      <c r="L1376" s="70" t="s">
        <v>595</v>
      </c>
      <c r="M1376" s="12" t="s">
        <v>918</v>
      </c>
      <c r="N1376" s="26">
        <v>1</v>
      </c>
      <c r="O1376" s="57">
        <v>107143</v>
      </c>
      <c r="P1376" s="62">
        <f t="shared" si="24"/>
        <v>107143</v>
      </c>
      <c r="Q1376" s="6" t="s">
        <v>397</v>
      </c>
      <c r="R1376" s="6" t="s">
        <v>770</v>
      </c>
      <c r="S1376" s="38" t="s">
        <v>929</v>
      </c>
      <c r="T1376" s="26">
        <v>0</v>
      </c>
    </row>
    <row r="1377" spans="1:20" s="45" customFormat="1" ht="51" outlineLevel="1">
      <c r="A1377" s="44"/>
      <c r="B1377" s="6">
        <v>1361</v>
      </c>
      <c r="C1377" s="16" t="s">
        <v>714</v>
      </c>
      <c r="D1377" s="6" t="s">
        <v>601</v>
      </c>
      <c r="E1377" s="38" t="s">
        <v>574</v>
      </c>
      <c r="F1377" s="70" t="s">
        <v>575</v>
      </c>
      <c r="G1377" s="70" t="s">
        <v>576</v>
      </c>
      <c r="H1377" s="70" t="s">
        <v>577</v>
      </c>
      <c r="I1377" s="70" t="s">
        <v>578</v>
      </c>
      <c r="J1377" s="70" t="s">
        <v>1538</v>
      </c>
      <c r="K1377" s="70" t="s">
        <v>76</v>
      </c>
      <c r="L1377" s="70" t="s">
        <v>595</v>
      </c>
      <c r="M1377" s="12" t="s">
        <v>918</v>
      </c>
      <c r="N1377" s="26">
        <v>1</v>
      </c>
      <c r="O1377" s="57">
        <v>100000</v>
      </c>
      <c r="P1377" s="62">
        <f t="shared" si="24"/>
        <v>100000</v>
      </c>
      <c r="Q1377" s="6" t="s">
        <v>397</v>
      </c>
      <c r="R1377" s="6" t="s">
        <v>770</v>
      </c>
      <c r="S1377" s="38">
        <v>431000000</v>
      </c>
      <c r="T1377" s="26">
        <v>0</v>
      </c>
    </row>
    <row r="1378" spans="1:20" s="45" customFormat="1" ht="51" outlineLevel="1">
      <c r="A1378" s="44"/>
      <c r="B1378" s="6">
        <v>1362</v>
      </c>
      <c r="C1378" s="36" t="s">
        <v>714</v>
      </c>
      <c r="D1378" s="43" t="s">
        <v>601</v>
      </c>
      <c r="E1378" s="38" t="s">
        <v>574</v>
      </c>
      <c r="F1378" s="70" t="s">
        <v>575</v>
      </c>
      <c r="G1378" s="70" t="s">
        <v>576</v>
      </c>
      <c r="H1378" s="70" t="s">
        <v>577</v>
      </c>
      <c r="I1378" s="70" t="s">
        <v>578</v>
      </c>
      <c r="J1378" s="70" t="s">
        <v>1538</v>
      </c>
      <c r="K1378" s="70" t="s">
        <v>76</v>
      </c>
      <c r="L1378" s="70" t="s">
        <v>595</v>
      </c>
      <c r="M1378" s="12" t="s">
        <v>918</v>
      </c>
      <c r="N1378" s="65">
        <v>1</v>
      </c>
      <c r="O1378" s="57">
        <v>231250</v>
      </c>
      <c r="P1378" s="62">
        <f t="shared" si="24"/>
        <v>231250</v>
      </c>
      <c r="Q1378" s="6" t="s">
        <v>397</v>
      </c>
      <c r="R1378" s="6" t="s">
        <v>770</v>
      </c>
      <c r="S1378" s="38" t="s">
        <v>719</v>
      </c>
      <c r="T1378" s="26">
        <v>100</v>
      </c>
    </row>
    <row r="1379" spans="1:20" s="45" customFormat="1" ht="51" outlineLevel="1">
      <c r="A1379" s="44"/>
      <c r="B1379" s="6">
        <v>1363</v>
      </c>
      <c r="C1379" s="16" t="s">
        <v>945</v>
      </c>
      <c r="D1379" s="6" t="s">
        <v>601</v>
      </c>
      <c r="E1379" s="38" t="s">
        <v>574</v>
      </c>
      <c r="F1379" s="70" t="s">
        <v>575</v>
      </c>
      <c r="G1379" s="70" t="s">
        <v>576</v>
      </c>
      <c r="H1379" s="70" t="s">
        <v>577</v>
      </c>
      <c r="I1379" s="70" t="s">
        <v>578</v>
      </c>
      <c r="J1379" s="70" t="s">
        <v>1538</v>
      </c>
      <c r="K1379" s="70" t="s">
        <v>76</v>
      </c>
      <c r="L1379" s="70" t="s">
        <v>595</v>
      </c>
      <c r="M1379" s="12" t="s">
        <v>918</v>
      </c>
      <c r="N1379" s="26">
        <v>1</v>
      </c>
      <c r="O1379" s="57">
        <v>96429</v>
      </c>
      <c r="P1379" s="62">
        <f t="shared" si="24"/>
        <v>96429</v>
      </c>
      <c r="Q1379" s="6" t="s">
        <v>397</v>
      </c>
      <c r="R1379" s="6" t="s">
        <v>770</v>
      </c>
      <c r="S1379" s="38">
        <v>591000000</v>
      </c>
      <c r="T1379" s="26">
        <v>100</v>
      </c>
    </row>
    <row r="1380" spans="1:20" ht="63.75" outlineLevel="1">
      <c r="B1380" s="6">
        <v>1364</v>
      </c>
      <c r="C1380" s="16" t="s">
        <v>714</v>
      </c>
      <c r="D1380" s="38" t="s">
        <v>601</v>
      </c>
      <c r="E1380" s="6" t="s">
        <v>1909</v>
      </c>
      <c r="F1380" s="70" t="s">
        <v>1912</v>
      </c>
      <c r="G1380" s="70" t="s">
        <v>1910</v>
      </c>
      <c r="H1380" s="70" t="s">
        <v>1913</v>
      </c>
      <c r="I1380" s="70" t="s">
        <v>1911</v>
      </c>
      <c r="J1380" s="70" t="s">
        <v>1906</v>
      </c>
      <c r="K1380" s="70" t="s">
        <v>77</v>
      </c>
      <c r="L1380" s="70" t="s">
        <v>595</v>
      </c>
      <c r="M1380" s="12" t="s">
        <v>918</v>
      </c>
      <c r="N1380" s="26">
        <v>1</v>
      </c>
      <c r="O1380" s="57">
        <v>9600000</v>
      </c>
      <c r="P1380" s="62">
        <f t="shared" si="24"/>
        <v>9600000</v>
      </c>
      <c r="Q1380" s="6" t="s">
        <v>505</v>
      </c>
      <c r="R1380" s="16" t="s">
        <v>1476</v>
      </c>
      <c r="S1380" s="38" t="s">
        <v>1179</v>
      </c>
      <c r="T1380" s="26">
        <v>0</v>
      </c>
    </row>
    <row r="1381" spans="1:20" ht="140.25" outlineLevel="1">
      <c r="B1381" s="6">
        <v>1365</v>
      </c>
      <c r="C1381" s="16" t="s">
        <v>714</v>
      </c>
      <c r="D1381" s="38" t="s">
        <v>601</v>
      </c>
      <c r="E1381" s="6" t="s">
        <v>1914</v>
      </c>
      <c r="F1381" s="70" t="s">
        <v>1917</v>
      </c>
      <c r="G1381" s="70" t="s">
        <v>1915</v>
      </c>
      <c r="H1381" s="70" t="s">
        <v>1918</v>
      </c>
      <c r="I1381" s="70" t="s">
        <v>1916</v>
      </c>
      <c r="J1381" s="70" t="s">
        <v>1908</v>
      </c>
      <c r="K1381" s="70" t="s">
        <v>283</v>
      </c>
      <c r="L1381" s="70" t="s">
        <v>1489</v>
      </c>
      <c r="M1381" s="12" t="s">
        <v>918</v>
      </c>
      <c r="N1381" s="26">
        <v>1</v>
      </c>
      <c r="O1381" s="57">
        <v>4286526</v>
      </c>
      <c r="P1381" s="62">
        <f t="shared" si="24"/>
        <v>4286526</v>
      </c>
      <c r="Q1381" s="6" t="s">
        <v>616</v>
      </c>
      <c r="R1381" s="16" t="s">
        <v>1476</v>
      </c>
      <c r="S1381" s="38" t="s">
        <v>1179</v>
      </c>
      <c r="T1381" s="26">
        <v>30</v>
      </c>
    </row>
    <row r="1382" spans="1:20" ht="51" outlineLevel="1">
      <c r="B1382" s="6">
        <v>1366</v>
      </c>
      <c r="C1382" s="16" t="s">
        <v>714</v>
      </c>
      <c r="D1382" s="38" t="s">
        <v>601</v>
      </c>
      <c r="E1382" s="6" t="s">
        <v>1919</v>
      </c>
      <c r="F1382" s="70" t="s">
        <v>1922</v>
      </c>
      <c r="G1382" s="70" t="s">
        <v>1920</v>
      </c>
      <c r="H1382" s="70" t="s">
        <v>1922</v>
      </c>
      <c r="I1382" s="70" t="s">
        <v>1921</v>
      </c>
      <c r="J1382" s="70" t="s">
        <v>1907</v>
      </c>
      <c r="K1382" s="70" t="s">
        <v>78</v>
      </c>
      <c r="L1382" s="70" t="s">
        <v>595</v>
      </c>
      <c r="M1382" s="12" t="s">
        <v>918</v>
      </c>
      <c r="N1382" s="26">
        <v>1</v>
      </c>
      <c r="O1382" s="57">
        <v>10714286</v>
      </c>
      <c r="P1382" s="62">
        <f t="shared" si="24"/>
        <v>10714286</v>
      </c>
      <c r="Q1382" s="6" t="s">
        <v>519</v>
      </c>
      <c r="R1382" s="6" t="s">
        <v>770</v>
      </c>
      <c r="S1382" s="38" t="s">
        <v>1179</v>
      </c>
      <c r="T1382" s="26">
        <v>100</v>
      </c>
    </row>
    <row r="1383" spans="1:20" ht="51" outlineLevel="1">
      <c r="B1383" s="6">
        <v>1367</v>
      </c>
      <c r="C1383" s="36" t="s">
        <v>714</v>
      </c>
      <c r="D1383" s="43" t="s">
        <v>601</v>
      </c>
      <c r="E1383" s="6" t="s">
        <v>925</v>
      </c>
      <c r="F1383" s="70" t="s">
        <v>1021</v>
      </c>
      <c r="G1383" s="70" t="s">
        <v>1022</v>
      </c>
      <c r="H1383" s="70" t="s">
        <v>1023</v>
      </c>
      <c r="I1383" s="70" t="s">
        <v>972</v>
      </c>
      <c r="J1383" s="70" t="s">
        <v>2266</v>
      </c>
      <c r="K1383" s="70" t="s">
        <v>81</v>
      </c>
      <c r="L1383" s="70" t="s">
        <v>595</v>
      </c>
      <c r="M1383" s="12" t="s">
        <v>918</v>
      </c>
      <c r="N1383" s="26">
        <v>1</v>
      </c>
      <c r="O1383" s="57">
        <v>1122272</v>
      </c>
      <c r="P1383" s="62">
        <f t="shared" si="24"/>
        <v>1122272</v>
      </c>
      <c r="Q1383" s="6" t="s">
        <v>397</v>
      </c>
      <c r="R1383" s="6" t="s">
        <v>770</v>
      </c>
      <c r="S1383" s="38" t="s">
        <v>1179</v>
      </c>
      <c r="T1383" s="26">
        <v>100</v>
      </c>
    </row>
    <row r="1384" spans="1:20" s="14" customFormat="1" ht="51">
      <c r="A1384" s="2"/>
      <c r="B1384" s="6">
        <v>1368</v>
      </c>
      <c r="C1384" s="36" t="s">
        <v>714</v>
      </c>
      <c r="D1384" s="43" t="s">
        <v>601</v>
      </c>
      <c r="E1384" s="6" t="s">
        <v>925</v>
      </c>
      <c r="F1384" s="70" t="s">
        <v>1021</v>
      </c>
      <c r="G1384" s="70" t="s">
        <v>1022</v>
      </c>
      <c r="H1384" s="70" t="s">
        <v>1023</v>
      </c>
      <c r="I1384" s="70" t="s">
        <v>972</v>
      </c>
      <c r="J1384" s="70" t="s">
        <v>2266</v>
      </c>
      <c r="K1384" s="70" t="s">
        <v>81</v>
      </c>
      <c r="L1384" s="70" t="s">
        <v>595</v>
      </c>
      <c r="M1384" s="12" t="s">
        <v>918</v>
      </c>
      <c r="N1384" s="26">
        <v>1</v>
      </c>
      <c r="O1384" s="57">
        <v>77679</v>
      </c>
      <c r="P1384" s="62">
        <f t="shared" si="24"/>
        <v>77679</v>
      </c>
      <c r="Q1384" s="6" t="s">
        <v>397</v>
      </c>
      <c r="R1384" s="6" t="s">
        <v>770</v>
      </c>
      <c r="S1384" s="38" t="s">
        <v>2038</v>
      </c>
      <c r="T1384" s="26">
        <v>100</v>
      </c>
    </row>
    <row r="1385" spans="1:20" s="14" customFormat="1" ht="51">
      <c r="A1385" s="2"/>
      <c r="B1385" s="6">
        <v>1369</v>
      </c>
      <c r="C1385" s="36" t="s">
        <v>714</v>
      </c>
      <c r="D1385" s="43" t="s">
        <v>601</v>
      </c>
      <c r="E1385" s="6" t="s">
        <v>925</v>
      </c>
      <c r="F1385" s="70" t="s">
        <v>1021</v>
      </c>
      <c r="G1385" s="70" t="s">
        <v>1022</v>
      </c>
      <c r="H1385" s="70" t="s">
        <v>1023</v>
      </c>
      <c r="I1385" s="70" t="s">
        <v>972</v>
      </c>
      <c r="J1385" s="70" t="s">
        <v>2266</v>
      </c>
      <c r="K1385" s="70" t="s">
        <v>81</v>
      </c>
      <c r="L1385" s="70" t="s">
        <v>595</v>
      </c>
      <c r="M1385" s="12" t="s">
        <v>918</v>
      </c>
      <c r="N1385" s="26">
        <v>1</v>
      </c>
      <c r="O1385" s="57">
        <v>77679</v>
      </c>
      <c r="P1385" s="62">
        <f t="shared" si="24"/>
        <v>77679</v>
      </c>
      <c r="Q1385" s="6" t="s">
        <v>397</v>
      </c>
      <c r="R1385" s="6" t="s">
        <v>770</v>
      </c>
      <c r="S1385" s="38" t="s">
        <v>1025</v>
      </c>
      <c r="T1385" s="26">
        <v>100</v>
      </c>
    </row>
    <row r="1386" spans="1:20" s="14" customFormat="1" ht="51">
      <c r="A1386" s="2"/>
      <c r="B1386" s="6">
        <v>1370</v>
      </c>
      <c r="C1386" s="36" t="s">
        <v>714</v>
      </c>
      <c r="D1386" s="43" t="s">
        <v>601</v>
      </c>
      <c r="E1386" s="6" t="s">
        <v>925</v>
      </c>
      <c r="F1386" s="70" t="s">
        <v>1021</v>
      </c>
      <c r="G1386" s="70" t="s">
        <v>1022</v>
      </c>
      <c r="H1386" s="70" t="s">
        <v>1023</v>
      </c>
      <c r="I1386" s="70" t="s">
        <v>972</v>
      </c>
      <c r="J1386" s="70" t="s">
        <v>2266</v>
      </c>
      <c r="K1386" s="70" t="s">
        <v>81</v>
      </c>
      <c r="L1386" s="70" t="s">
        <v>595</v>
      </c>
      <c r="M1386" s="12" t="s">
        <v>918</v>
      </c>
      <c r="N1386" s="26">
        <v>1</v>
      </c>
      <c r="O1386" s="57">
        <v>77679</v>
      </c>
      <c r="P1386" s="62">
        <f t="shared" si="24"/>
        <v>77679</v>
      </c>
      <c r="Q1386" s="6" t="s">
        <v>395</v>
      </c>
      <c r="R1386" s="6" t="s">
        <v>770</v>
      </c>
      <c r="S1386" s="38" t="s">
        <v>793</v>
      </c>
      <c r="T1386" s="26">
        <v>100</v>
      </c>
    </row>
    <row r="1387" spans="1:20" s="14" customFormat="1" ht="51">
      <c r="A1387" s="2"/>
      <c r="B1387" s="6">
        <v>1371</v>
      </c>
      <c r="C1387" s="36" t="s">
        <v>714</v>
      </c>
      <c r="D1387" s="43" t="s">
        <v>601</v>
      </c>
      <c r="E1387" s="6" t="s">
        <v>925</v>
      </c>
      <c r="F1387" s="70" t="s">
        <v>1021</v>
      </c>
      <c r="G1387" s="70" t="s">
        <v>1022</v>
      </c>
      <c r="H1387" s="70" t="s">
        <v>1023</v>
      </c>
      <c r="I1387" s="70" t="s">
        <v>972</v>
      </c>
      <c r="J1387" s="70" t="s">
        <v>2266</v>
      </c>
      <c r="K1387" s="70" t="s">
        <v>81</v>
      </c>
      <c r="L1387" s="70" t="s">
        <v>595</v>
      </c>
      <c r="M1387" s="12" t="s">
        <v>918</v>
      </c>
      <c r="N1387" s="26">
        <v>1</v>
      </c>
      <c r="O1387" s="57">
        <v>77679</v>
      </c>
      <c r="P1387" s="62">
        <f t="shared" si="24"/>
        <v>77679</v>
      </c>
      <c r="Q1387" s="6" t="s">
        <v>397</v>
      </c>
      <c r="R1387" s="6" t="s">
        <v>770</v>
      </c>
      <c r="S1387" s="38" t="s">
        <v>2030</v>
      </c>
      <c r="T1387" s="26">
        <v>100</v>
      </c>
    </row>
    <row r="1388" spans="1:20" s="14" customFormat="1" ht="51">
      <c r="B1388" s="6">
        <v>1372</v>
      </c>
      <c r="C1388" s="36" t="s">
        <v>714</v>
      </c>
      <c r="D1388" s="43" t="s">
        <v>601</v>
      </c>
      <c r="E1388" s="6" t="s">
        <v>925</v>
      </c>
      <c r="F1388" s="70" t="s">
        <v>1021</v>
      </c>
      <c r="G1388" s="70" t="s">
        <v>1022</v>
      </c>
      <c r="H1388" s="70" t="s">
        <v>1023</v>
      </c>
      <c r="I1388" s="70" t="s">
        <v>972</v>
      </c>
      <c r="J1388" s="70" t="s">
        <v>2266</v>
      </c>
      <c r="K1388" s="70" t="s">
        <v>81</v>
      </c>
      <c r="L1388" s="70" t="s">
        <v>595</v>
      </c>
      <c r="M1388" s="12" t="s">
        <v>918</v>
      </c>
      <c r="N1388" s="26">
        <v>1</v>
      </c>
      <c r="O1388" s="57">
        <v>77679</v>
      </c>
      <c r="P1388" s="62">
        <f t="shared" si="24"/>
        <v>77679</v>
      </c>
      <c r="Q1388" s="6" t="s">
        <v>397</v>
      </c>
      <c r="R1388" s="6" t="s">
        <v>770</v>
      </c>
      <c r="S1388" s="38" t="s">
        <v>2035</v>
      </c>
      <c r="T1388" s="26">
        <v>100</v>
      </c>
    </row>
    <row r="1389" spans="1:20" s="14" customFormat="1" ht="51">
      <c r="A1389" s="17"/>
      <c r="B1389" s="6">
        <v>1373</v>
      </c>
      <c r="C1389" s="36" t="s">
        <v>714</v>
      </c>
      <c r="D1389" s="43" t="s">
        <v>601</v>
      </c>
      <c r="E1389" s="6" t="s">
        <v>925</v>
      </c>
      <c r="F1389" s="70" t="s">
        <v>1021</v>
      </c>
      <c r="G1389" s="70" t="s">
        <v>1022</v>
      </c>
      <c r="H1389" s="70" t="s">
        <v>1023</v>
      </c>
      <c r="I1389" s="70" t="s">
        <v>972</v>
      </c>
      <c r="J1389" s="70" t="s">
        <v>2266</v>
      </c>
      <c r="K1389" s="70" t="s">
        <v>81</v>
      </c>
      <c r="L1389" s="70" t="s">
        <v>595</v>
      </c>
      <c r="M1389" s="12" t="s">
        <v>918</v>
      </c>
      <c r="N1389" s="26">
        <v>1</v>
      </c>
      <c r="O1389" s="57">
        <v>77679</v>
      </c>
      <c r="P1389" s="62">
        <f t="shared" si="24"/>
        <v>77679</v>
      </c>
      <c r="Q1389" s="6" t="s">
        <v>397</v>
      </c>
      <c r="R1389" s="6" t="s">
        <v>770</v>
      </c>
      <c r="S1389" s="38" t="s">
        <v>2031</v>
      </c>
      <c r="T1389" s="26">
        <v>100</v>
      </c>
    </row>
    <row r="1390" spans="1:20" ht="51">
      <c r="B1390" s="6">
        <v>1374</v>
      </c>
      <c r="C1390" s="36" t="s">
        <v>714</v>
      </c>
      <c r="D1390" s="43" t="s">
        <v>601</v>
      </c>
      <c r="E1390" s="6" t="s">
        <v>925</v>
      </c>
      <c r="F1390" s="70" t="s">
        <v>1021</v>
      </c>
      <c r="G1390" s="70" t="s">
        <v>1022</v>
      </c>
      <c r="H1390" s="70" t="s">
        <v>1023</v>
      </c>
      <c r="I1390" s="70" t="s">
        <v>972</v>
      </c>
      <c r="J1390" s="70" t="s">
        <v>2266</v>
      </c>
      <c r="K1390" s="70" t="s">
        <v>81</v>
      </c>
      <c r="L1390" s="70" t="s">
        <v>595</v>
      </c>
      <c r="M1390" s="12" t="s">
        <v>918</v>
      </c>
      <c r="N1390" s="26">
        <v>1</v>
      </c>
      <c r="O1390" s="57">
        <v>77679</v>
      </c>
      <c r="P1390" s="62">
        <f t="shared" si="24"/>
        <v>77679</v>
      </c>
      <c r="Q1390" s="6" t="s">
        <v>397</v>
      </c>
      <c r="R1390" s="6" t="s">
        <v>770</v>
      </c>
      <c r="S1390" s="38" t="s">
        <v>637</v>
      </c>
      <c r="T1390" s="26">
        <v>100</v>
      </c>
    </row>
    <row r="1391" spans="1:20" s="42" customFormat="1" ht="51">
      <c r="A1391" s="41"/>
      <c r="B1391" s="6">
        <v>1375</v>
      </c>
      <c r="C1391" s="36" t="s">
        <v>714</v>
      </c>
      <c r="D1391" s="43" t="s">
        <v>601</v>
      </c>
      <c r="E1391" s="6" t="s">
        <v>925</v>
      </c>
      <c r="F1391" s="70" t="s">
        <v>1021</v>
      </c>
      <c r="G1391" s="70" t="s">
        <v>1022</v>
      </c>
      <c r="H1391" s="70" t="s">
        <v>1023</v>
      </c>
      <c r="I1391" s="70" t="s">
        <v>972</v>
      </c>
      <c r="J1391" s="70" t="s">
        <v>2266</v>
      </c>
      <c r="K1391" s="70" t="s">
        <v>81</v>
      </c>
      <c r="L1391" s="70" t="s">
        <v>595</v>
      </c>
      <c r="M1391" s="12" t="s">
        <v>918</v>
      </c>
      <c r="N1391" s="26">
        <v>1</v>
      </c>
      <c r="O1391" s="57">
        <v>77679</v>
      </c>
      <c r="P1391" s="62">
        <f t="shared" si="24"/>
        <v>77679</v>
      </c>
      <c r="Q1391" s="6" t="s">
        <v>397</v>
      </c>
      <c r="R1391" s="6" t="s">
        <v>770</v>
      </c>
      <c r="S1391" s="38">
        <v>311000000</v>
      </c>
      <c r="T1391" s="26">
        <v>100</v>
      </c>
    </row>
    <row r="1392" spans="1:20" s="45" customFormat="1" ht="51">
      <c r="A1392" s="44"/>
      <c r="B1392" s="6">
        <v>1376</v>
      </c>
      <c r="C1392" s="36" t="s">
        <v>714</v>
      </c>
      <c r="D1392" s="43" t="s">
        <v>601</v>
      </c>
      <c r="E1392" s="6" t="s">
        <v>925</v>
      </c>
      <c r="F1392" s="70" t="s">
        <v>1021</v>
      </c>
      <c r="G1392" s="70" t="s">
        <v>1022</v>
      </c>
      <c r="H1392" s="70" t="s">
        <v>1023</v>
      </c>
      <c r="I1392" s="70" t="s">
        <v>972</v>
      </c>
      <c r="J1392" s="70" t="s">
        <v>2266</v>
      </c>
      <c r="K1392" s="70" t="s">
        <v>81</v>
      </c>
      <c r="L1392" s="70" t="s">
        <v>595</v>
      </c>
      <c r="M1392" s="12" t="s">
        <v>918</v>
      </c>
      <c r="N1392" s="26">
        <v>1</v>
      </c>
      <c r="O1392" s="57">
        <v>77679</v>
      </c>
      <c r="P1392" s="62">
        <f t="shared" si="24"/>
        <v>77679</v>
      </c>
      <c r="Q1392" s="6" t="s">
        <v>397</v>
      </c>
      <c r="R1392" s="6" t="s">
        <v>770</v>
      </c>
      <c r="S1392" s="38" t="s">
        <v>2032</v>
      </c>
      <c r="T1392" s="26">
        <v>100</v>
      </c>
    </row>
    <row r="1393" spans="1:20" s="14" customFormat="1" ht="51">
      <c r="A1393" s="2"/>
      <c r="B1393" s="6">
        <v>1377</v>
      </c>
      <c r="C1393" s="36" t="s">
        <v>714</v>
      </c>
      <c r="D1393" s="43" t="s">
        <v>601</v>
      </c>
      <c r="E1393" s="6" t="s">
        <v>925</v>
      </c>
      <c r="F1393" s="70" t="s">
        <v>1021</v>
      </c>
      <c r="G1393" s="70" t="s">
        <v>1022</v>
      </c>
      <c r="H1393" s="70" t="s">
        <v>1023</v>
      </c>
      <c r="I1393" s="70" t="s">
        <v>972</v>
      </c>
      <c r="J1393" s="70" t="s">
        <v>2266</v>
      </c>
      <c r="K1393" s="70" t="s">
        <v>81</v>
      </c>
      <c r="L1393" s="70" t="s">
        <v>595</v>
      </c>
      <c r="M1393" s="12" t="s">
        <v>918</v>
      </c>
      <c r="N1393" s="26">
        <v>1</v>
      </c>
      <c r="O1393" s="57">
        <v>77679</v>
      </c>
      <c r="P1393" s="62">
        <f t="shared" si="24"/>
        <v>77679</v>
      </c>
      <c r="Q1393" s="6" t="s">
        <v>397</v>
      </c>
      <c r="R1393" s="6" t="s">
        <v>770</v>
      </c>
      <c r="S1393" s="38">
        <v>351000000</v>
      </c>
      <c r="T1393" s="26">
        <v>100</v>
      </c>
    </row>
    <row r="1394" spans="1:20" ht="51">
      <c r="B1394" s="6">
        <v>1378</v>
      </c>
      <c r="C1394" s="36" t="s">
        <v>714</v>
      </c>
      <c r="D1394" s="43" t="s">
        <v>601</v>
      </c>
      <c r="E1394" s="6" t="s">
        <v>925</v>
      </c>
      <c r="F1394" s="70" t="s">
        <v>1021</v>
      </c>
      <c r="G1394" s="70" t="s">
        <v>1022</v>
      </c>
      <c r="H1394" s="70" t="s">
        <v>1023</v>
      </c>
      <c r="I1394" s="70" t="s">
        <v>972</v>
      </c>
      <c r="J1394" s="70" t="s">
        <v>2266</v>
      </c>
      <c r="K1394" s="70" t="s">
        <v>81</v>
      </c>
      <c r="L1394" s="70" t="s">
        <v>595</v>
      </c>
      <c r="M1394" s="12" t="s">
        <v>918</v>
      </c>
      <c r="N1394" s="26">
        <v>1</v>
      </c>
      <c r="O1394" s="57">
        <v>77679</v>
      </c>
      <c r="P1394" s="62">
        <f t="shared" si="24"/>
        <v>77679</v>
      </c>
      <c r="Q1394" s="6" t="s">
        <v>397</v>
      </c>
      <c r="R1394" s="6" t="s">
        <v>770</v>
      </c>
      <c r="S1394" s="38" t="s">
        <v>929</v>
      </c>
      <c r="T1394" s="26">
        <v>100</v>
      </c>
    </row>
    <row r="1395" spans="1:20" s="14" customFormat="1" ht="51">
      <c r="A1395" s="2"/>
      <c r="B1395" s="6">
        <v>1379</v>
      </c>
      <c r="C1395" s="36" t="s">
        <v>714</v>
      </c>
      <c r="D1395" s="43" t="s">
        <v>601</v>
      </c>
      <c r="E1395" s="6" t="s">
        <v>925</v>
      </c>
      <c r="F1395" s="70" t="s">
        <v>1021</v>
      </c>
      <c r="G1395" s="70" t="s">
        <v>1022</v>
      </c>
      <c r="H1395" s="70" t="s">
        <v>1023</v>
      </c>
      <c r="I1395" s="70" t="s">
        <v>972</v>
      </c>
      <c r="J1395" s="70" t="s">
        <v>2266</v>
      </c>
      <c r="K1395" s="70" t="s">
        <v>81</v>
      </c>
      <c r="L1395" s="70" t="s">
        <v>595</v>
      </c>
      <c r="M1395" s="12" t="s">
        <v>918</v>
      </c>
      <c r="N1395" s="26">
        <v>1</v>
      </c>
      <c r="O1395" s="57">
        <v>77679</v>
      </c>
      <c r="P1395" s="62">
        <f t="shared" si="24"/>
        <v>77679</v>
      </c>
      <c r="Q1395" s="6" t="s">
        <v>397</v>
      </c>
      <c r="R1395" s="6" t="s">
        <v>770</v>
      </c>
      <c r="S1395" s="38">
        <v>431000000</v>
      </c>
      <c r="T1395" s="26">
        <v>100</v>
      </c>
    </row>
    <row r="1396" spans="1:20" s="14" customFormat="1" ht="51">
      <c r="A1396" s="2"/>
      <c r="B1396" s="6">
        <v>1380</v>
      </c>
      <c r="C1396" s="36" t="s">
        <v>714</v>
      </c>
      <c r="D1396" s="43" t="s">
        <v>601</v>
      </c>
      <c r="E1396" s="6" t="s">
        <v>925</v>
      </c>
      <c r="F1396" s="70" t="s">
        <v>1021</v>
      </c>
      <c r="G1396" s="70" t="s">
        <v>1022</v>
      </c>
      <c r="H1396" s="70" t="s">
        <v>1023</v>
      </c>
      <c r="I1396" s="70" t="s">
        <v>972</v>
      </c>
      <c r="J1396" s="70" t="s">
        <v>2266</v>
      </c>
      <c r="K1396" s="70" t="s">
        <v>81</v>
      </c>
      <c r="L1396" s="70" t="s">
        <v>595</v>
      </c>
      <c r="M1396" s="12" t="s">
        <v>918</v>
      </c>
      <c r="N1396" s="65">
        <v>1</v>
      </c>
      <c r="O1396" s="57">
        <v>77679</v>
      </c>
      <c r="P1396" s="62">
        <f t="shared" si="24"/>
        <v>77679</v>
      </c>
      <c r="Q1396" s="6" t="s">
        <v>397</v>
      </c>
      <c r="R1396" s="6" t="s">
        <v>770</v>
      </c>
      <c r="S1396" s="38" t="s">
        <v>719</v>
      </c>
      <c r="T1396" s="26">
        <v>100</v>
      </c>
    </row>
    <row r="1397" spans="1:20" s="39" customFormat="1" ht="63.75" customHeight="1">
      <c r="B1397" s="6">
        <v>1381</v>
      </c>
      <c r="C1397" s="36" t="s">
        <v>714</v>
      </c>
      <c r="D1397" s="43" t="s">
        <v>601</v>
      </c>
      <c r="E1397" s="6" t="s">
        <v>925</v>
      </c>
      <c r="F1397" s="70" t="s">
        <v>1021</v>
      </c>
      <c r="G1397" s="70" t="s">
        <v>1022</v>
      </c>
      <c r="H1397" s="70" t="s">
        <v>1023</v>
      </c>
      <c r="I1397" s="70" t="s">
        <v>972</v>
      </c>
      <c r="J1397" s="70" t="s">
        <v>2266</v>
      </c>
      <c r="K1397" s="70" t="s">
        <v>81</v>
      </c>
      <c r="L1397" s="70" t="s">
        <v>595</v>
      </c>
      <c r="M1397" s="12" t="s">
        <v>918</v>
      </c>
      <c r="N1397" s="26">
        <v>1</v>
      </c>
      <c r="O1397" s="57">
        <v>77679</v>
      </c>
      <c r="P1397" s="62">
        <f t="shared" si="24"/>
        <v>77679</v>
      </c>
      <c r="Q1397" s="6" t="s">
        <v>397</v>
      </c>
      <c r="R1397" s="6" t="s">
        <v>770</v>
      </c>
      <c r="S1397" s="38">
        <v>551000000</v>
      </c>
      <c r="T1397" s="26">
        <v>100</v>
      </c>
    </row>
    <row r="1398" spans="1:20" s="14" customFormat="1" ht="51">
      <c r="A1398" s="2"/>
      <c r="B1398" s="6">
        <v>1382</v>
      </c>
      <c r="C1398" s="36" t="s">
        <v>714</v>
      </c>
      <c r="D1398" s="43" t="s">
        <v>601</v>
      </c>
      <c r="E1398" s="6" t="s">
        <v>925</v>
      </c>
      <c r="F1398" s="70" t="s">
        <v>1021</v>
      </c>
      <c r="G1398" s="70" t="s">
        <v>1022</v>
      </c>
      <c r="H1398" s="70" t="s">
        <v>1023</v>
      </c>
      <c r="I1398" s="70" t="s">
        <v>972</v>
      </c>
      <c r="J1398" s="70" t="s">
        <v>2266</v>
      </c>
      <c r="K1398" s="70" t="s">
        <v>81</v>
      </c>
      <c r="L1398" s="70" t="s">
        <v>595</v>
      </c>
      <c r="M1398" s="12" t="s">
        <v>918</v>
      </c>
      <c r="N1398" s="26">
        <v>1</v>
      </c>
      <c r="O1398" s="57">
        <v>78125</v>
      </c>
      <c r="P1398" s="62">
        <f t="shared" si="24"/>
        <v>78125</v>
      </c>
      <c r="Q1398" s="6" t="s">
        <v>397</v>
      </c>
      <c r="R1398" s="6" t="s">
        <v>770</v>
      </c>
      <c r="S1398" s="38">
        <v>591000000</v>
      </c>
      <c r="T1398" s="26">
        <v>100</v>
      </c>
    </row>
    <row r="1399" spans="1:20" s="14" customFormat="1" ht="51">
      <c r="A1399" s="2"/>
      <c r="B1399" s="6">
        <v>1383</v>
      </c>
      <c r="C1399" s="36" t="s">
        <v>714</v>
      </c>
      <c r="D1399" s="43" t="s">
        <v>601</v>
      </c>
      <c r="E1399" s="6" t="s">
        <v>925</v>
      </c>
      <c r="F1399" s="70" t="s">
        <v>1021</v>
      </c>
      <c r="G1399" s="70" t="s">
        <v>1022</v>
      </c>
      <c r="H1399" s="70" t="s">
        <v>1023</v>
      </c>
      <c r="I1399" s="70" t="s">
        <v>972</v>
      </c>
      <c r="J1399" s="70" t="s">
        <v>2266</v>
      </c>
      <c r="K1399" s="70" t="s">
        <v>81</v>
      </c>
      <c r="L1399" s="70" t="s">
        <v>595</v>
      </c>
      <c r="M1399" s="12" t="s">
        <v>918</v>
      </c>
      <c r="N1399" s="26">
        <v>1</v>
      </c>
      <c r="O1399" s="57">
        <v>77679</v>
      </c>
      <c r="P1399" s="62">
        <f t="shared" si="24"/>
        <v>77679</v>
      </c>
      <c r="Q1399" s="6" t="s">
        <v>397</v>
      </c>
      <c r="R1399" s="6" t="s">
        <v>770</v>
      </c>
      <c r="S1399" s="38" t="s">
        <v>2037</v>
      </c>
      <c r="T1399" s="26">
        <v>100</v>
      </c>
    </row>
    <row r="1400" spans="1:20" ht="40.5" customHeight="1">
      <c r="B1400" s="6">
        <v>1384</v>
      </c>
      <c r="C1400" s="16" t="s">
        <v>945</v>
      </c>
      <c r="D1400" s="38" t="s">
        <v>601</v>
      </c>
      <c r="E1400" s="6" t="s">
        <v>1418</v>
      </c>
      <c r="F1400" s="70" t="s">
        <v>1925</v>
      </c>
      <c r="G1400" s="70" t="s">
        <v>1419</v>
      </c>
      <c r="H1400" s="70" t="s">
        <v>1924</v>
      </c>
      <c r="I1400" s="70" t="s">
        <v>1420</v>
      </c>
      <c r="J1400" s="70" t="s">
        <v>1923</v>
      </c>
      <c r="K1400" s="70" t="s">
        <v>82</v>
      </c>
      <c r="L1400" s="70" t="s">
        <v>595</v>
      </c>
      <c r="M1400" s="12" t="s">
        <v>918</v>
      </c>
      <c r="N1400" s="26">
        <v>1</v>
      </c>
      <c r="O1400" s="57">
        <v>29450893</v>
      </c>
      <c r="P1400" s="62">
        <f t="shared" si="24"/>
        <v>29450893</v>
      </c>
      <c r="Q1400" s="6" t="s">
        <v>702</v>
      </c>
      <c r="R1400" s="16" t="s">
        <v>1476</v>
      </c>
      <c r="S1400" s="38" t="s">
        <v>1179</v>
      </c>
      <c r="T1400" s="26">
        <v>100</v>
      </c>
    </row>
    <row r="1401" spans="1:20" ht="114.75">
      <c r="B1401" s="6">
        <v>1385</v>
      </c>
      <c r="C1401" s="36" t="s">
        <v>945</v>
      </c>
      <c r="D1401" s="43" t="s">
        <v>601</v>
      </c>
      <c r="E1401" s="6" t="s">
        <v>1386</v>
      </c>
      <c r="F1401" s="70" t="s">
        <v>2758</v>
      </c>
      <c r="G1401" s="70" t="s">
        <v>2756</v>
      </c>
      <c r="H1401" s="70" t="s">
        <v>2759</v>
      </c>
      <c r="I1401" s="70" t="s">
        <v>2757</v>
      </c>
      <c r="J1401" s="70" t="s">
        <v>2759</v>
      </c>
      <c r="K1401" s="70" t="s">
        <v>2757</v>
      </c>
      <c r="L1401" s="70" t="s">
        <v>595</v>
      </c>
      <c r="M1401" s="12" t="s">
        <v>918</v>
      </c>
      <c r="N1401" s="26">
        <v>1</v>
      </c>
      <c r="O1401" s="57">
        <f>P1401/N1401</f>
        <v>1300000</v>
      </c>
      <c r="P1401" s="62">
        <f>1131712+168288</f>
        <v>1300000</v>
      </c>
      <c r="Q1401" s="6" t="s">
        <v>616</v>
      </c>
      <c r="R1401" s="16" t="s">
        <v>1476</v>
      </c>
      <c r="S1401" s="38" t="s">
        <v>1179</v>
      </c>
      <c r="T1401" s="26">
        <v>100</v>
      </c>
    </row>
    <row r="1402" spans="1:20" ht="63.75">
      <c r="B1402" s="6">
        <v>1386</v>
      </c>
      <c r="C1402" s="16" t="s">
        <v>714</v>
      </c>
      <c r="D1402" s="38" t="s">
        <v>601</v>
      </c>
      <c r="E1402" s="58" t="s">
        <v>1162</v>
      </c>
      <c r="F1402" s="70" t="s">
        <v>1927</v>
      </c>
      <c r="G1402" s="70" t="s">
        <v>1163</v>
      </c>
      <c r="H1402" s="70" t="s">
        <v>1927</v>
      </c>
      <c r="I1402" s="70" t="s">
        <v>1163</v>
      </c>
      <c r="J1402" s="70" t="s">
        <v>1926</v>
      </c>
      <c r="K1402" s="70" t="s">
        <v>83</v>
      </c>
      <c r="L1402" s="70" t="s">
        <v>595</v>
      </c>
      <c r="M1402" s="12" t="s">
        <v>918</v>
      </c>
      <c r="N1402" s="26">
        <v>1</v>
      </c>
      <c r="O1402" s="57">
        <v>2678571</v>
      </c>
      <c r="P1402" s="62">
        <f t="shared" si="24"/>
        <v>2678571</v>
      </c>
      <c r="Q1402" s="6" t="s">
        <v>395</v>
      </c>
      <c r="R1402" s="16" t="s">
        <v>1476</v>
      </c>
      <c r="S1402" s="38" t="s">
        <v>1179</v>
      </c>
      <c r="T1402" s="26">
        <v>100</v>
      </c>
    </row>
    <row r="1403" spans="1:20" ht="102">
      <c r="B1403" s="6">
        <v>1387</v>
      </c>
      <c r="C1403" s="16" t="s">
        <v>714</v>
      </c>
      <c r="D1403" s="38" t="s">
        <v>601</v>
      </c>
      <c r="E1403" s="58" t="s">
        <v>1046</v>
      </c>
      <c r="F1403" s="70" t="s">
        <v>1930</v>
      </c>
      <c r="G1403" s="70" t="s">
        <v>1047</v>
      </c>
      <c r="H1403" s="70" t="s">
        <v>1928</v>
      </c>
      <c r="I1403" s="70" t="s">
        <v>1048</v>
      </c>
      <c r="J1403" s="70" t="s">
        <v>1929</v>
      </c>
      <c r="K1403" s="70" t="s">
        <v>285</v>
      </c>
      <c r="L1403" s="70" t="s">
        <v>595</v>
      </c>
      <c r="M1403" s="12" t="s">
        <v>918</v>
      </c>
      <c r="N1403" s="26">
        <v>1</v>
      </c>
      <c r="O1403" s="57">
        <v>9977857</v>
      </c>
      <c r="P1403" s="62">
        <f t="shared" si="24"/>
        <v>9977857</v>
      </c>
      <c r="Q1403" s="6" t="s">
        <v>505</v>
      </c>
      <c r="R1403" s="16" t="s">
        <v>1476</v>
      </c>
      <c r="S1403" s="38" t="s">
        <v>1179</v>
      </c>
      <c r="T1403" s="26">
        <v>100</v>
      </c>
    </row>
    <row r="1404" spans="1:20" s="14" customFormat="1" ht="76.5">
      <c r="A1404" s="2"/>
      <c r="B1404" s="6">
        <v>1388</v>
      </c>
      <c r="C1404" s="36" t="s">
        <v>714</v>
      </c>
      <c r="D1404" s="43" t="s">
        <v>601</v>
      </c>
      <c r="E1404" s="6" t="s">
        <v>581</v>
      </c>
      <c r="F1404" s="70" t="s">
        <v>582</v>
      </c>
      <c r="G1404" s="70" t="s">
        <v>583</v>
      </c>
      <c r="H1404" s="70" t="s">
        <v>582</v>
      </c>
      <c r="I1404" s="70" t="s">
        <v>584</v>
      </c>
      <c r="J1404" s="70" t="s">
        <v>2252</v>
      </c>
      <c r="K1404" s="70" t="s">
        <v>284</v>
      </c>
      <c r="L1404" s="70" t="s">
        <v>595</v>
      </c>
      <c r="M1404" s="12" t="s">
        <v>918</v>
      </c>
      <c r="N1404" s="26">
        <v>1</v>
      </c>
      <c r="O1404" s="57">
        <v>17857</v>
      </c>
      <c r="P1404" s="62">
        <f t="shared" si="24"/>
        <v>17857</v>
      </c>
      <c r="Q1404" s="6" t="s">
        <v>397</v>
      </c>
      <c r="R1404" s="16" t="s">
        <v>1476</v>
      </c>
      <c r="S1404" s="38" t="s">
        <v>2038</v>
      </c>
      <c r="T1404" s="26">
        <v>100</v>
      </c>
    </row>
    <row r="1405" spans="1:20" s="14" customFormat="1" ht="76.5">
      <c r="A1405" s="2"/>
      <c r="B1405" s="6">
        <v>1389</v>
      </c>
      <c r="C1405" s="36" t="s">
        <v>945</v>
      </c>
      <c r="D1405" s="43" t="s">
        <v>601</v>
      </c>
      <c r="E1405" s="6" t="s">
        <v>581</v>
      </c>
      <c r="F1405" s="70" t="s">
        <v>582</v>
      </c>
      <c r="G1405" s="70" t="s">
        <v>583</v>
      </c>
      <c r="H1405" s="70" t="s">
        <v>582</v>
      </c>
      <c r="I1405" s="70" t="s">
        <v>584</v>
      </c>
      <c r="J1405" s="70" t="s">
        <v>2252</v>
      </c>
      <c r="K1405" s="70" t="s">
        <v>284</v>
      </c>
      <c r="L1405" s="70" t="s">
        <v>595</v>
      </c>
      <c r="M1405" s="12" t="s">
        <v>918</v>
      </c>
      <c r="N1405" s="26">
        <v>1</v>
      </c>
      <c r="O1405" s="57">
        <v>17857</v>
      </c>
      <c r="P1405" s="62">
        <f t="shared" si="24"/>
        <v>17857</v>
      </c>
      <c r="Q1405" s="6" t="s">
        <v>395</v>
      </c>
      <c r="R1405" s="16" t="s">
        <v>1476</v>
      </c>
      <c r="S1405" s="38" t="s">
        <v>1025</v>
      </c>
      <c r="T1405" s="26">
        <v>100</v>
      </c>
    </row>
    <row r="1406" spans="1:20" s="14" customFormat="1" ht="76.5">
      <c r="A1406" s="2"/>
      <c r="B1406" s="6">
        <v>1390</v>
      </c>
      <c r="C1406" s="36" t="s">
        <v>945</v>
      </c>
      <c r="D1406" s="43" t="s">
        <v>601</v>
      </c>
      <c r="E1406" s="6" t="s">
        <v>581</v>
      </c>
      <c r="F1406" s="70" t="s">
        <v>582</v>
      </c>
      <c r="G1406" s="70" t="s">
        <v>583</v>
      </c>
      <c r="H1406" s="70" t="s">
        <v>582</v>
      </c>
      <c r="I1406" s="70" t="s">
        <v>584</v>
      </c>
      <c r="J1406" s="70" t="s">
        <v>2252</v>
      </c>
      <c r="K1406" s="70" t="s">
        <v>284</v>
      </c>
      <c r="L1406" s="70" t="s">
        <v>595</v>
      </c>
      <c r="M1406" s="12" t="s">
        <v>918</v>
      </c>
      <c r="N1406" s="26">
        <v>1</v>
      </c>
      <c r="O1406" s="57">
        <v>17857</v>
      </c>
      <c r="P1406" s="62">
        <f t="shared" si="24"/>
        <v>17857</v>
      </c>
      <c r="Q1406" s="6" t="s">
        <v>506</v>
      </c>
      <c r="R1406" s="16" t="s">
        <v>1476</v>
      </c>
      <c r="S1406" s="38" t="s">
        <v>793</v>
      </c>
      <c r="T1406" s="6">
        <v>100</v>
      </c>
    </row>
    <row r="1407" spans="1:20" s="14" customFormat="1" ht="76.5">
      <c r="A1407" s="2"/>
      <c r="B1407" s="6">
        <v>1391</v>
      </c>
      <c r="C1407" s="36" t="s">
        <v>945</v>
      </c>
      <c r="D1407" s="43" t="s">
        <v>601</v>
      </c>
      <c r="E1407" s="6" t="s">
        <v>581</v>
      </c>
      <c r="F1407" s="70" t="s">
        <v>582</v>
      </c>
      <c r="G1407" s="70" t="s">
        <v>583</v>
      </c>
      <c r="H1407" s="70" t="s">
        <v>582</v>
      </c>
      <c r="I1407" s="70" t="s">
        <v>584</v>
      </c>
      <c r="J1407" s="70" t="s">
        <v>2252</v>
      </c>
      <c r="K1407" s="70" t="s">
        <v>284</v>
      </c>
      <c r="L1407" s="70" t="s">
        <v>595</v>
      </c>
      <c r="M1407" s="12" t="s">
        <v>918</v>
      </c>
      <c r="N1407" s="26">
        <v>1</v>
      </c>
      <c r="O1407" s="57">
        <f>P1407/N1407</f>
        <v>53571</v>
      </c>
      <c r="P1407" s="62">
        <v>53571</v>
      </c>
      <c r="Q1407" s="6" t="s">
        <v>395</v>
      </c>
      <c r="R1407" s="16" t="s">
        <v>1476</v>
      </c>
      <c r="S1407" s="38" t="s">
        <v>2030</v>
      </c>
      <c r="T1407" s="26">
        <v>100</v>
      </c>
    </row>
    <row r="1408" spans="1:20" ht="76.5" outlineLevel="1">
      <c r="B1408" s="6">
        <v>1392</v>
      </c>
      <c r="C1408" s="36" t="s">
        <v>714</v>
      </c>
      <c r="D1408" s="43" t="s">
        <v>601</v>
      </c>
      <c r="E1408" s="6" t="s">
        <v>581</v>
      </c>
      <c r="F1408" s="70" t="s">
        <v>582</v>
      </c>
      <c r="G1408" s="70" t="s">
        <v>583</v>
      </c>
      <c r="H1408" s="70" t="s">
        <v>582</v>
      </c>
      <c r="I1408" s="70" t="s">
        <v>584</v>
      </c>
      <c r="J1408" s="70" t="s">
        <v>2252</v>
      </c>
      <c r="K1408" s="70" t="s">
        <v>284</v>
      </c>
      <c r="L1408" s="70" t="s">
        <v>595</v>
      </c>
      <c r="M1408" s="12" t="s">
        <v>918</v>
      </c>
      <c r="N1408" s="26">
        <v>1</v>
      </c>
      <c r="O1408" s="57">
        <v>17857</v>
      </c>
      <c r="P1408" s="62">
        <f t="shared" ref="P1408:P1466" si="25">N1408*O1408</f>
        <v>17857</v>
      </c>
      <c r="Q1408" s="6" t="s">
        <v>397</v>
      </c>
      <c r="R1408" s="16" t="s">
        <v>1476</v>
      </c>
      <c r="S1408" s="38" t="s">
        <v>2035</v>
      </c>
      <c r="T1408" s="26">
        <v>100</v>
      </c>
    </row>
    <row r="1409" spans="1:20" s="14" customFormat="1" ht="76.5">
      <c r="A1409" s="17"/>
      <c r="B1409" s="6">
        <v>1393</v>
      </c>
      <c r="C1409" s="36" t="s">
        <v>945</v>
      </c>
      <c r="D1409" s="43" t="s">
        <v>601</v>
      </c>
      <c r="E1409" s="6" t="s">
        <v>581</v>
      </c>
      <c r="F1409" s="70" t="s">
        <v>582</v>
      </c>
      <c r="G1409" s="70" t="s">
        <v>583</v>
      </c>
      <c r="H1409" s="70" t="s">
        <v>582</v>
      </c>
      <c r="I1409" s="70" t="s">
        <v>584</v>
      </c>
      <c r="J1409" s="70" t="s">
        <v>2252</v>
      </c>
      <c r="K1409" s="70" t="s">
        <v>284</v>
      </c>
      <c r="L1409" s="70" t="s">
        <v>595</v>
      </c>
      <c r="M1409" s="12" t="s">
        <v>918</v>
      </c>
      <c r="N1409" s="26">
        <v>1</v>
      </c>
      <c r="O1409" s="57">
        <v>17857</v>
      </c>
      <c r="P1409" s="62">
        <f t="shared" si="25"/>
        <v>17857</v>
      </c>
      <c r="Q1409" s="6" t="s">
        <v>395</v>
      </c>
      <c r="R1409" s="16" t="s">
        <v>1476</v>
      </c>
      <c r="S1409" s="38" t="s">
        <v>2031</v>
      </c>
      <c r="T1409" s="26">
        <v>100</v>
      </c>
    </row>
    <row r="1410" spans="1:20" ht="76.5" outlineLevel="1">
      <c r="B1410" s="6">
        <v>1394</v>
      </c>
      <c r="C1410" s="36" t="s">
        <v>714</v>
      </c>
      <c r="D1410" s="43" t="s">
        <v>601</v>
      </c>
      <c r="E1410" s="6" t="s">
        <v>581</v>
      </c>
      <c r="F1410" s="70" t="s">
        <v>582</v>
      </c>
      <c r="G1410" s="70" t="s">
        <v>583</v>
      </c>
      <c r="H1410" s="70" t="s">
        <v>582</v>
      </c>
      <c r="I1410" s="70" t="s">
        <v>584</v>
      </c>
      <c r="J1410" s="70" t="s">
        <v>2252</v>
      </c>
      <c r="K1410" s="70" t="s">
        <v>284</v>
      </c>
      <c r="L1410" s="70" t="s">
        <v>595</v>
      </c>
      <c r="M1410" s="12" t="s">
        <v>918</v>
      </c>
      <c r="N1410" s="26">
        <v>1</v>
      </c>
      <c r="O1410" s="57">
        <v>17857</v>
      </c>
      <c r="P1410" s="62">
        <f t="shared" si="25"/>
        <v>17857</v>
      </c>
      <c r="Q1410" s="6" t="s">
        <v>397</v>
      </c>
      <c r="R1410" s="16" t="s">
        <v>1476</v>
      </c>
      <c r="S1410" s="38" t="s">
        <v>637</v>
      </c>
      <c r="T1410" s="26">
        <v>100</v>
      </c>
    </row>
    <row r="1411" spans="1:20" ht="76.5" outlineLevel="1">
      <c r="B1411" s="6">
        <v>1395</v>
      </c>
      <c r="C1411" s="36" t="s">
        <v>945</v>
      </c>
      <c r="D1411" s="43" t="s">
        <v>601</v>
      </c>
      <c r="E1411" s="6" t="s">
        <v>581</v>
      </c>
      <c r="F1411" s="70" t="s">
        <v>582</v>
      </c>
      <c r="G1411" s="70" t="s">
        <v>583</v>
      </c>
      <c r="H1411" s="70" t="s">
        <v>582</v>
      </c>
      <c r="I1411" s="70" t="s">
        <v>584</v>
      </c>
      <c r="J1411" s="70" t="s">
        <v>2252</v>
      </c>
      <c r="K1411" s="70" t="s">
        <v>284</v>
      </c>
      <c r="L1411" s="70" t="s">
        <v>595</v>
      </c>
      <c r="M1411" s="12" t="s">
        <v>918</v>
      </c>
      <c r="N1411" s="26">
        <v>1</v>
      </c>
      <c r="O1411" s="57">
        <v>17857</v>
      </c>
      <c r="P1411" s="62">
        <f t="shared" si="25"/>
        <v>17857</v>
      </c>
      <c r="Q1411" s="6" t="s">
        <v>395</v>
      </c>
      <c r="R1411" s="16" t="s">
        <v>1476</v>
      </c>
      <c r="S1411" s="38">
        <v>311000000</v>
      </c>
      <c r="T1411" s="26">
        <v>100</v>
      </c>
    </row>
    <row r="1412" spans="1:20" ht="76.5" outlineLevel="1">
      <c r="B1412" s="6">
        <v>1396</v>
      </c>
      <c r="C1412" s="36" t="s">
        <v>714</v>
      </c>
      <c r="D1412" s="43" t="s">
        <v>601</v>
      </c>
      <c r="E1412" s="6" t="s">
        <v>581</v>
      </c>
      <c r="F1412" s="70" t="s">
        <v>582</v>
      </c>
      <c r="G1412" s="70" t="s">
        <v>583</v>
      </c>
      <c r="H1412" s="70" t="s">
        <v>582</v>
      </c>
      <c r="I1412" s="70" t="s">
        <v>584</v>
      </c>
      <c r="J1412" s="70" t="s">
        <v>2252</v>
      </c>
      <c r="K1412" s="70" t="s">
        <v>284</v>
      </c>
      <c r="L1412" s="70" t="s">
        <v>595</v>
      </c>
      <c r="M1412" s="12" t="s">
        <v>918</v>
      </c>
      <c r="N1412" s="26">
        <v>1</v>
      </c>
      <c r="O1412" s="57">
        <v>17857</v>
      </c>
      <c r="P1412" s="62">
        <f t="shared" si="25"/>
        <v>17857</v>
      </c>
      <c r="Q1412" s="6" t="s">
        <v>397</v>
      </c>
      <c r="R1412" s="16" t="s">
        <v>1476</v>
      </c>
      <c r="S1412" s="38" t="s">
        <v>2032</v>
      </c>
      <c r="T1412" s="6">
        <v>100</v>
      </c>
    </row>
    <row r="1413" spans="1:20" ht="76.5" outlineLevel="1">
      <c r="B1413" s="6">
        <v>1397</v>
      </c>
      <c r="C1413" s="36" t="s">
        <v>714</v>
      </c>
      <c r="D1413" s="43" t="s">
        <v>601</v>
      </c>
      <c r="E1413" s="6" t="s">
        <v>581</v>
      </c>
      <c r="F1413" s="70" t="s">
        <v>582</v>
      </c>
      <c r="G1413" s="70" t="s">
        <v>583</v>
      </c>
      <c r="H1413" s="70" t="s">
        <v>582</v>
      </c>
      <c r="I1413" s="70" t="s">
        <v>584</v>
      </c>
      <c r="J1413" s="70" t="s">
        <v>2252</v>
      </c>
      <c r="K1413" s="70" t="s">
        <v>284</v>
      </c>
      <c r="L1413" s="70" t="s">
        <v>595</v>
      </c>
      <c r="M1413" s="12" t="s">
        <v>918</v>
      </c>
      <c r="N1413" s="26">
        <v>1</v>
      </c>
      <c r="O1413" s="57">
        <v>17857</v>
      </c>
      <c r="P1413" s="62">
        <f t="shared" si="25"/>
        <v>17857</v>
      </c>
      <c r="Q1413" s="6" t="s">
        <v>397</v>
      </c>
      <c r="R1413" s="16" t="s">
        <v>1476</v>
      </c>
      <c r="S1413" s="38">
        <v>351000000</v>
      </c>
      <c r="T1413" s="26">
        <v>100</v>
      </c>
    </row>
    <row r="1414" spans="1:20" ht="76.5" outlineLevel="1">
      <c r="B1414" s="6">
        <v>1398</v>
      </c>
      <c r="C1414" s="36" t="s">
        <v>714</v>
      </c>
      <c r="D1414" s="43" t="s">
        <v>601</v>
      </c>
      <c r="E1414" s="6" t="s">
        <v>581</v>
      </c>
      <c r="F1414" s="70" t="s">
        <v>582</v>
      </c>
      <c r="G1414" s="70" t="s">
        <v>583</v>
      </c>
      <c r="H1414" s="70" t="s">
        <v>582</v>
      </c>
      <c r="I1414" s="70" t="s">
        <v>584</v>
      </c>
      <c r="J1414" s="70" t="s">
        <v>2252</v>
      </c>
      <c r="K1414" s="70" t="s">
        <v>284</v>
      </c>
      <c r="L1414" s="70" t="s">
        <v>595</v>
      </c>
      <c r="M1414" s="12" t="s">
        <v>918</v>
      </c>
      <c r="N1414" s="26">
        <v>1</v>
      </c>
      <c r="O1414" s="57">
        <v>17857</v>
      </c>
      <c r="P1414" s="62">
        <f t="shared" si="25"/>
        <v>17857</v>
      </c>
      <c r="Q1414" s="6" t="s">
        <v>397</v>
      </c>
      <c r="R1414" s="16" t="s">
        <v>1476</v>
      </c>
      <c r="S1414" s="38" t="s">
        <v>929</v>
      </c>
      <c r="T1414" s="26">
        <v>100</v>
      </c>
    </row>
    <row r="1415" spans="1:20" ht="76.5" outlineLevel="1">
      <c r="B1415" s="6">
        <v>1399</v>
      </c>
      <c r="C1415" s="36" t="s">
        <v>714</v>
      </c>
      <c r="D1415" s="43" t="s">
        <v>601</v>
      </c>
      <c r="E1415" s="6" t="s">
        <v>581</v>
      </c>
      <c r="F1415" s="70" t="s">
        <v>582</v>
      </c>
      <c r="G1415" s="70" t="s">
        <v>583</v>
      </c>
      <c r="H1415" s="70" t="s">
        <v>582</v>
      </c>
      <c r="I1415" s="70" t="s">
        <v>584</v>
      </c>
      <c r="J1415" s="70" t="s">
        <v>2252</v>
      </c>
      <c r="K1415" s="70" t="s">
        <v>284</v>
      </c>
      <c r="L1415" s="70" t="s">
        <v>595</v>
      </c>
      <c r="M1415" s="12" t="s">
        <v>918</v>
      </c>
      <c r="N1415" s="26">
        <v>1</v>
      </c>
      <c r="O1415" s="57">
        <v>17857</v>
      </c>
      <c r="P1415" s="62">
        <f t="shared" si="25"/>
        <v>17857</v>
      </c>
      <c r="Q1415" s="6" t="s">
        <v>397</v>
      </c>
      <c r="R1415" s="16" t="s">
        <v>1476</v>
      </c>
      <c r="S1415" s="38">
        <v>431000000</v>
      </c>
      <c r="T1415" s="26">
        <v>100</v>
      </c>
    </row>
    <row r="1416" spans="1:20" ht="76.5" outlineLevel="1">
      <c r="B1416" s="6">
        <v>1400</v>
      </c>
      <c r="C1416" s="36" t="s">
        <v>714</v>
      </c>
      <c r="D1416" s="43" t="s">
        <v>601</v>
      </c>
      <c r="E1416" s="6" t="s">
        <v>581</v>
      </c>
      <c r="F1416" s="70" t="s">
        <v>582</v>
      </c>
      <c r="G1416" s="70" t="s">
        <v>583</v>
      </c>
      <c r="H1416" s="70" t="s">
        <v>582</v>
      </c>
      <c r="I1416" s="70" t="s">
        <v>584</v>
      </c>
      <c r="J1416" s="70" t="s">
        <v>2252</v>
      </c>
      <c r="K1416" s="70" t="s">
        <v>284</v>
      </c>
      <c r="L1416" s="70" t="s">
        <v>595</v>
      </c>
      <c r="M1416" s="12" t="s">
        <v>918</v>
      </c>
      <c r="N1416" s="65">
        <v>1</v>
      </c>
      <c r="O1416" s="57">
        <v>17857</v>
      </c>
      <c r="P1416" s="62">
        <f t="shared" si="25"/>
        <v>17857</v>
      </c>
      <c r="Q1416" s="6" t="s">
        <v>397</v>
      </c>
      <c r="R1416" s="16" t="s">
        <v>1476</v>
      </c>
      <c r="S1416" s="38" t="s">
        <v>719</v>
      </c>
      <c r="T1416" s="26">
        <v>100</v>
      </c>
    </row>
    <row r="1417" spans="1:20" s="39" customFormat="1" ht="54.75" customHeight="1">
      <c r="B1417" s="6">
        <v>1401</v>
      </c>
      <c r="C1417" s="36" t="s">
        <v>714</v>
      </c>
      <c r="D1417" s="43" t="s">
        <v>601</v>
      </c>
      <c r="E1417" s="6" t="s">
        <v>581</v>
      </c>
      <c r="F1417" s="70" t="s">
        <v>582</v>
      </c>
      <c r="G1417" s="70" t="s">
        <v>583</v>
      </c>
      <c r="H1417" s="70" t="s">
        <v>582</v>
      </c>
      <c r="I1417" s="70" t="s">
        <v>584</v>
      </c>
      <c r="J1417" s="70" t="s">
        <v>2252</v>
      </c>
      <c r="K1417" s="70" t="s">
        <v>284</v>
      </c>
      <c r="L1417" s="70" t="s">
        <v>595</v>
      </c>
      <c r="M1417" s="12" t="s">
        <v>918</v>
      </c>
      <c r="N1417" s="26">
        <v>1</v>
      </c>
      <c r="O1417" s="57">
        <v>17857</v>
      </c>
      <c r="P1417" s="62">
        <f t="shared" si="25"/>
        <v>17857</v>
      </c>
      <c r="Q1417" s="6" t="s">
        <v>397</v>
      </c>
      <c r="R1417" s="16" t="s">
        <v>1476</v>
      </c>
      <c r="S1417" s="38">
        <v>551000000</v>
      </c>
      <c r="T1417" s="26">
        <v>100</v>
      </c>
    </row>
    <row r="1418" spans="1:20" ht="76.5" outlineLevel="1">
      <c r="B1418" s="6">
        <v>1402</v>
      </c>
      <c r="C1418" s="36" t="s">
        <v>714</v>
      </c>
      <c r="D1418" s="43" t="s">
        <v>601</v>
      </c>
      <c r="E1418" s="6" t="s">
        <v>581</v>
      </c>
      <c r="F1418" s="70" t="s">
        <v>582</v>
      </c>
      <c r="G1418" s="70" t="s">
        <v>583</v>
      </c>
      <c r="H1418" s="70" t="s">
        <v>582</v>
      </c>
      <c r="I1418" s="70" t="s">
        <v>584</v>
      </c>
      <c r="J1418" s="70" t="s">
        <v>2252</v>
      </c>
      <c r="K1418" s="70" t="s">
        <v>284</v>
      </c>
      <c r="L1418" s="70" t="s">
        <v>595</v>
      </c>
      <c r="M1418" s="12" t="s">
        <v>918</v>
      </c>
      <c r="N1418" s="26">
        <v>1</v>
      </c>
      <c r="O1418" s="57">
        <v>17857</v>
      </c>
      <c r="P1418" s="62">
        <f t="shared" si="25"/>
        <v>17857</v>
      </c>
      <c r="Q1418" s="6" t="s">
        <v>397</v>
      </c>
      <c r="R1418" s="16" t="s">
        <v>1476</v>
      </c>
      <c r="S1418" s="38">
        <v>591000000</v>
      </c>
      <c r="T1418" s="26">
        <v>100</v>
      </c>
    </row>
    <row r="1419" spans="1:20" ht="76.5" outlineLevel="1">
      <c r="B1419" s="6">
        <v>1403</v>
      </c>
      <c r="C1419" s="36" t="s">
        <v>714</v>
      </c>
      <c r="D1419" s="43" t="s">
        <v>601</v>
      </c>
      <c r="E1419" s="6" t="s">
        <v>581</v>
      </c>
      <c r="F1419" s="70" t="s">
        <v>582</v>
      </c>
      <c r="G1419" s="70" t="s">
        <v>583</v>
      </c>
      <c r="H1419" s="70" t="s">
        <v>582</v>
      </c>
      <c r="I1419" s="70" t="s">
        <v>584</v>
      </c>
      <c r="J1419" s="70" t="s">
        <v>2252</v>
      </c>
      <c r="K1419" s="70" t="s">
        <v>284</v>
      </c>
      <c r="L1419" s="70" t="s">
        <v>595</v>
      </c>
      <c r="M1419" s="12" t="s">
        <v>918</v>
      </c>
      <c r="N1419" s="26">
        <v>1</v>
      </c>
      <c r="O1419" s="57">
        <v>17857</v>
      </c>
      <c r="P1419" s="62">
        <f t="shared" si="25"/>
        <v>17857</v>
      </c>
      <c r="Q1419" s="6" t="s">
        <v>397</v>
      </c>
      <c r="R1419" s="16" t="s">
        <v>1476</v>
      </c>
      <c r="S1419" s="38" t="s">
        <v>2037</v>
      </c>
      <c r="T1419" s="6">
        <v>100</v>
      </c>
    </row>
    <row r="1420" spans="1:20" ht="76.5" outlineLevel="1">
      <c r="B1420" s="6">
        <v>1404</v>
      </c>
      <c r="C1420" s="36" t="s">
        <v>945</v>
      </c>
      <c r="D1420" s="43" t="s">
        <v>601</v>
      </c>
      <c r="E1420" s="6" t="s">
        <v>581</v>
      </c>
      <c r="F1420" s="70" t="s">
        <v>582</v>
      </c>
      <c r="G1420" s="70" t="s">
        <v>583</v>
      </c>
      <c r="H1420" s="70" t="s">
        <v>582</v>
      </c>
      <c r="I1420" s="70" t="s">
        <v>584</v>
      </c>
      <c r="J1420" s="70" t="s">
        <v>2251</v>
      </c>
      <c r="K1420" s="70" t="s">
        <v>291</v>
      </c>
      <c r="L1420" s="70" t="s">
        <v>595</v>
      </c>
      <c r="M1420" s="12" t="s">
        <v>918</v>
      </c>
      <c r="N1420" s="26">
        <v>1</v>
      </c>
      <c r="O1420" s="57">
        <v>17857</v>
      </c>
      <c r="P1420" s="62">
        <f t="shared" si="25"/>
        <v>17857</v>
      </c>
      <c r="Q1420" s="6" t="s">
        <v>616</v>
      </c>
      <c r="R1420" s="16" t="s">
        <v>1476</v>
      </c>
      <c r="S1420" s="38" t="s">
        <v>2038</v>
      </c>
      <c r="T1420" s="26">
        <v>100</v>
      </c>
    </row>
    <row r="1421" spans="1:20" ht="76.5" outlineLevel="1">
      <c r="B1421" s="6">
        <v>1405</v>
      </c>
      <c r="C1421" s="36" t="s">
        <v>945</v>
      </c>
      <c r="D1421" s="43" t="s">
        <v>601</v>
      </c>
      <c r="E1421" s="6" t="s">
        <v>581</v>
      </c>
      <c r="F1421" s="70" t="s">
        <v>582</v>
      </c>
      <c r="G1421" s="70" t="s">
        <v>583</v>
      </c>
      <c r="H1421" s="70" t="s">
        <v>582</v>
      </c>
      <c r="I1421" s="70" t="s">
        <v>584</v>
      </c>
      <c r="J1421" s="70" t="s">
        <v>2251</v>
      </c>
      <c r="K1421" s="70" t="s">
        <v>291</v>
      </c>
      <c r="L1421" s="70" t="s">
        <v>595</v>
      </c>
      <c r="M1421" s="12" t="s">
        <v>918</v>
      </c>
      <c r="N1421" s="26">
        <v>1</v>
      </c>
      <c r="O1421" s="57">
        <v>17857</v>
      </c>
      <c r="P1421" s="62">
        <f t="shared" si="25"/>
        <v>17857</v>
      </c>
      <c r="Q1421" s="6" t="s">
        <v>505</v>
      </c>
      <c r="R1421" s="16" t="s">
        <v>1476</v>
      </c>
      <c r="S1421" s="38" t="s">
        <v>1025</v>
      </c>
      <c r="T1421" s="26">
        <v>100</v>
      </c>
    </row>
    <row r="1422" spans="1:20" ht="76.5" outlineLevel="1">
      <c r="B1422" s="6">
        <v>1406</v>
      </c>
      <c r="C1422" s="36" t="s">
        <v>945</v>
      </c>
      <c r="D1422" s="43" t="s">
        <v>601</v>
      </c>
      <c r="E1422" s="6" t="s">
        <v>581</v>
      </c>
      <c r="F1422" s="70" t="s">
        <v>582</v>
      </c>
      <c r="G1422" s="70" t="s">
        <v>583</v>
      </c>
      <c r="H1422" s="70" t="s">
        <v>582</v>
      </c>
      <c r="I1422" s="70" t="s">
        <v>584</v>
      </c>
      <c r="J1422" s="70" t="s">
        <v>2251</v>
      </c>
      <c r="K1422" s="70" t="s">
        <v>291</v>
      </c>
      <c r="L1422" s="70" t="s">
        <v>595</v>
      </c>
      <c r="M1422" s="12" t="s">
        <v>918</v>
      </c>
      <c r="N1422" s="26">
        <v>1</v>
      </c>
      <c r="O1422" s="57">
        <v>17857</v>
      </c>
      <c r="P1422" s="62">
        <f t="shared" si="25"/>
        <v>17857</v>
      </c>
      <c r="Q1422" s="6" t="s">
        <v>506</v>
      </c>
      <c r="R1422" s="16" t="s">
        <v>1476</v>
      </c>
      <c r="S1422" s="38" t="s">
        <v>793</v>
      </c>
      <c r="T1422" s="6">
        <v>100</v>
      </c>
    </row>
    <row r="1423" spans="1:20" s="14" customFormat="1" ht="76.5">
      <c r="A1423" s="17"/>
      <c r="B1423" s="6">
        <v>1407</v>
      </c>
      <c r="C1423" s="36" t="s">
        <v>945</v>
      </c>
      <c r="D1423" s="43" t="s">
        <v>601</v>
      </c>
      <c r="E1423" s="6" t="s">
        <v>581</v>
      </c>
      <c r="F1423" s="70" t="s">
        <v>582</v>
      </c>
      <c r="G1423" s="70" t="s">
        <v>583</v>
      </c>
      <c r="H1423" s="70" t="s">
        <v>582</v>
      </c>
      <c r="I1423" s="70" t="s">
        <v>584</v>
      </c>
      <c r="J1423" s="70" t="s">
        <v>2251</v>
      </c>
      <c r="K1423" s="70" t="s">
        <v>291</v>
      </c>
      <c r="L1423" s="70" t="s">
        <v>595</v>
      </c>
      <c r="M1423" s="12" t="s">
        <v>918</v>
      </c>
      <c r="N1423" s="26">
        <v>1</v>
      </c>
      <c r="O1423" s="57">
        <v>17857</v>
      </c>
      <c r="P1423" s="62">
        <f t="shared" si="25"/>
        <v>17857</v>
      </c>
      <c r="Q1423" s="6" t="s">
        <v>505</v>
      </c>
      <c r="R1423" s="16" t="s">
        <v>1476</v>
      </c>
      <c r="S1423" s="38" t="s">
        <v>2031</v>
      </c>
      <c r="T1423" s="26">
        <v>100</v>
      </c>
    </row>
    <row r="1424" spans="1:20" ht="76.5" outlineLevel="1">
      <c r="B1424" s="6">
        <v>1408</v>
      </c>
      <c r="C1424" s="36" t="s">
        <v>945</v>
      </c>
      <c r="D1424" s="43" t="s">
        <v>601</v>
      </c>
      <c r="E1424" s="6" t="s">
        <v>581</v>
      </c>
      <c r="F1424" s="70" t="s">
        <v>582</v>
      </c>
      <c r="G1424" s="70" t="s">
        <v>583</v>
      </c>
      <c r="H1424" s="70" t="s">
        <v>582</v>
      </c>
      <c r="I1424" s="70" t="s">
        <v>584</v>
      </c>
      <c r="J1424" s="70" t="s">
        <v>2251</v>
      </c>
      <c r="K1424" s="70" t="s">
        <v>291</v>
      </c>
      <c r="L1424" s="70" t="s">
        <v>595</v>
      </c>
      <c r="M1424" s="12" t="s">
        <v>918</v>
      </c>
      <c r="N1424" s="26">
        <v>1</v>
      </c>
      <c r="O1424" s="57">
        <v>17857</v>
      </c>
      <c r="P1424" s="62">
        <f t="shared" si="25"/>
        <v>17857</v>
      </c>
      <c r="Q1424" s="6" t="s">
        <v>616</v>
      </c>
      <c r="R1424" s="16" t="s">
        <v>1476</v>
      </c>
      <c r="S1424" s="38" t="s">
        <v>637</v>
      </c>
      <c r="T1424" s="26">
        <v>100</v>
      </c>
    </row>
    <row r="1425" spans="1:20" ht="76.5" outlineLevel="1">
      <c r="B1425" s="6">
        <v>1409</v>
      </c>
      <c r="C1425" s="36" t="s">
        <v>945</v>
      </c>
      <c r="D1425" s="43" t="s">
        <v>601</v>
      </c>
      <c r="E1425" s="6" t="s">
        <v>581</v>
      </c>
      <c r="F1425" s="70" t="s">
        <v>582</v>
      </c>
      <c r="G1425" s="70" t="s">
        <v>583</v>
      </c>
      <c r="H1425" s="70" t="s">
        <v>582</v>
      </c>
      <c r="I1425" s="70" t="s">
        <v>584</v>
      </c>
      <c r="J1425" s="70" t="s">
        <v>2251</v>
      </c>
      <c r="K1425" s="70" t="s">
        <v>291</v>
      </c>
      <c r="L1425" s="70" t="s">
        <v>595</v>
      </c>
      <c r="M1425" s="12" t="s">
        <v>918</v>
      </c>
      <c r="N1425" s="26">
        <v>1</v>
      </c>
      <c r="O1425" s="57">
        <v>17857</v>
      </c>
      <c r="P1425" s="62">
        <f t="shared" si="25"/>
        <v>17857</v>
      </c>
      <c r="Q1425" s="6" t="s">
        <v>395</v>
      </c>
      <c r="R1425" s="16" t="s">
        <v>1476</v>
      </c>
      <c r="S1425" s="38">
        <v>311000000</v>
      </c>
      <c r="T1425" s="26">
        <v>100</v>
      </c>
    </row>
    <row r="1426" spans="1:20" ht="76.5" outlineLevel="1">
      <c r="B1426" s="6">
        <v>1410</v>
      </c>
      <c r="C1426" s="36" t="s">
        <v>714</v>
      </c>
      <c r="D1426" s="43" t="s">
        <v>601</v>
      </c>
      <c r="E1426" s="6" t="s">
        <v>581</v>
      </c>
      <c r="F1426" s="70" t="s">
        <v>582</v>
      </c>
      <c r="G1426" s="70" t="s">
        <v>583</v>
      </c>
      <c r="H1426" s="70" t="s">
        <v>582</v>
      </c>
      <c r="I1426" s="70" t="s">
        <v>584</v>
      </c>
      <c r="J1426" s="70" t="s">
        <v>2251</v>
      </c>
      <c r="K1426" s="70" t="s">
        <v>291</v>
      </c>
      <c r="L1426" s="70" t="s">
        <v>595</v>
      </c>
      <c r="M1426" s="12" t="s">
        <v>918</v>
      </c>
      <c r="N1426" s="26">
        <v>1</v>
      </c>
      <c r="O1426" s="57">
        <v>17857</v>
      </c>
      <c r="P1426" s="62">
        <f t="shared" si="25"/>
        <v>17857</v>
      </c>
      <c r="Q1426" s="6" t="s">
        <v>505</v>
      </c>
      <c r="R1426" s="16" t="s">
        <v>1476</v>
      </c>
      <c r="S1426" s="38" t="s">
        <v>2032</v>
      </c>
      <c r="T1426" s="6">
        <v>100</v>
      </c>
    </row>
    <row r="1427" spans="1:20" ht="76.5" outlineLevel="1">
      <c r="B1427" s="6">
        <v>1411</v>
      </c>
      <c r="C1427" s="36" t="s">
        <v>945</v>
      </c>
      <c r="D1427" s="43" t="s">
        <v>601</v>
      </c>
      <c r="E1427" s="6" t="s">
        <v>581</v>
      </c>
      <c r="F1427" s="70" t="s">
        <v>582</v>
      </c>
      <c r="G1427" s="70" t="s">
        <v>583</v>
      </c>
      <c r="H1427" s="70" t="s">
        <v>582</v>
      </c>
      <c r="I1427" s="70" t="s">
        <v>584</v>
      </c>
      <c r="J1427" s="70" t="s">
        <v>2251</v>
      </c>
      <c r="K1427" s="70" t="s">
        <v>291</v>
      </c>
      <c r="L1427" s="70" t="s">
        <v>595</v>
      </c>
      <c r="M1427" s="12" t="s">
        <v>918</v>
      </c>
      <c r="N1427" s="26">
        <v>1</v>
      </c>
      <c r="O1427" s="57">
        <v>17857</v>
      </c>
      <c r="P1427" s="62">
        <f t="shared" si="25"/>
        <v>17857</v>
      </c>
      <c r="Q1427" s="6" t="s">
        <v>616</v>
      </c>
      <c r="R1427" s="16" t="s">
        <v>1476</v>
      </c>
      <c r="S1427" s="38">
        <v>351000000</v>
      </c>
      <c r="T1427" s="26">
        <v>100</v>
      </c>
    </row>
    <row r="1428" spans="1:20" ht="76.5" outlineLevel="1">
      <c r="B1428" s="6">
        <v>1412</v>
      </c>
      <c r="C1428" s="36" t="s">
        <v>945</v>
      </c>
      <c r="D1428" s="43" t="s">
        <v>601</v>
      </c>
      <c r="E1428" s="6" t="s">
        <v>581</v>
      </c>
      <c r="F1428" s="70" t="s">
        <v>582</v>
      </c>
      <c r="G1428" s="70" t="s">
        <v>583</v>
      </c>
      <c r="H1428" s="70" t="s">
        <v>582</v>
      </c>
      <c r="I1428" s="70" t="s">
        <v>584</v>
      </c>
      <c r="J1428" s="70" t="s">
        <v>2251</v>
      </c>
      <c r="K1428" s="70" t="s">
        <v>291</v>
      </c>
      <c r="L1428" s="70" t="s">
        <v>595</v>
      </c>
      <c r="M1428" s="12" t="s">
        <v>918</v>
      </c>
      <c r="N1428" s="26">
        <v>1</v>
      </c>
      <c r="O1428" s="57">
        <v>17857</v>
      </c>
      <c r="P1428" s="62">
        <f t="shared" si="25"/>
        <v>17857</v>
      </c>
      <c r="Q1428" s="6" t="s">
        <v>590</v>
      </c>
      <c r="R1428" s="16" t="s">
        <v>1476</v>
      </c>
      <c r="S1428" s="38" t="s">
        <v>929</v>
      </c>
      <c r="T1428" s="26">
        <v>100</v>
      </c>
    </row>
    <row r="1429" spans="1:20" ht="76.5" outlineLevel="1">
      <c r="B1429" s="6">
        <v>1413</v>
      </c>
      <c r="C1429" s="36" t="s">
        <v>714</v>
      </c>
      <c r="D1429" s="43" t="s">
        <v>601</v>
      </c>
      <c r="E1429" s="6" t="s">
        <v>581</v>
      </c>
      <c r="F1429" s="70" t="s">
        <v>582</v>
      </c>
      <c r="G1429" s="70" t="s">
        <v>583</v>
      </c>
      <c r="H1429" s="70" t="s">
        <v>582</v>
      </c>
      <c r="I1429" s="70" t="s">
        <v>584</v>
      </c>
      <c r="J1429" s="70" t="s">
        <v>2251</v>
      </c>
      <c r="K1429" s="70" t="s">
        <v>291</v>
      </c>
      <c r="L1429" s="70" t="s">
        <v>595</v>
      </c>
      <c r="M1429" s="12" t="s">
        <v>918</v>
      </c>
      <c r="N1429" s="26">
        <v>1</v>
      </c>
      <c r="O1429" s="57">
        <v>17857</v>
      </c>
      <c r="P1429" s="62">
        <f t="shared" si="25"/>
        <v>17857</v>
      </c>
      <c r="Q1429" s="6" t="s">
        <v>616</v>
      </c>
      <c r="R1429" s="16" t="s">
        <v>1476</v>
      </c>
      <c r="S1429" s="38">
        <v>431000000</v>
      </c>
      <c r="T1429" s="26">
        <v>100</v>
      </c>
    </row>
    <row r="1430" spans="1:20" ht="76.5" outlineLevel="1">
      <c r="B1430" s="6">
        <v>1414</v>
      </c>
      <c r="C1430" s="36" t="s">
        <v>945</v>
      </c>
      <c r="D1430" s="43" t="s">
        <v>601</v>
      </c>
      <c r="E1430" s="6" t="s">
        <v>581</v>
      </c>
      <c r="F1430" s="70" t="s">
        <v>582</v>
      </c>
      <c r="G1430" s="70" t="s">
        <v>583</v>
      </c>
      <c r="H1430" s="70" t="s">
        <v>582</v>
      </c>
      <c r="I1430" s="70" t="s">
        <v>584</v>
      </c>
      <c r="J1430" s="70" t="s">
        <v>2251</v>
      </c>
      <c r="K1430" s="70" t="s">
        <v>291</v>
      </c>
      <c r="L1430" s="70" t="s">
        <v>595</v>
      </c>
      <c r="M1430" s="12" t="s">
        <v>918</v>
      </c>
      <c r="N1430" s="26">
        <v>1</v>
      </c>
      <c r="O1430" s="57">
        <v>17857</v>
      </c>
      <c r="P1430" s="62">
        <f t="shared" si="25"/>
        <v>17857</v>
      </c>
      <c r="Q1430" s="6" t="s">
        <v>505</v>
      </c>
      <c r="R1430" s="16" t="s">
        <v>1476</v>
      </c>
      <c r="S1430" s="38" t="s">
        <v>719</v>
      </c>
      <c r="T1430" s="26">
        <v>100</v>
      </c>
    </row>
    <row r="1431" spans="1:20" s="39" customFormat="1" ht="65.25" customHeight="1">
      <c r="B1431" s="6">
        <v>1415</v>
      </c>
      <c r="C1431" s="36" t="s">
        <v>714</v>
      </c>
      <c r="D1431" s="43" t="s">
        <v>601</v>
      </c>
      <c r="E1431" s="6" t="s">
        <v>581</v>
      </c>
      <c r="F1431" s="70" t="s">
        <v>582</v>
      </c>
      <c r="G1431" s="70" t="s">
        <v>583</v>
      </c>
      <c r="H1431" s="70" t="s">
        <v>582</v>
      </c>
      <c r="I1431" s="70" t="s">
        <v>584</v>
      </c>
      <c r="J1431" s="70" t="s">
        <v>2251</v>
      </c>
      <c r="K1431" s="70" t="s">
        <v>291</v>
      </c>
      <c r="L1431" s="70" t="s">
        <v>595</v>
      </c>
      <c r="M1431" s="12" t="s">
        <v>918</v>
      </c>
      <c r="N1431" s="26">
        <v>1</v>
      </c>
      <c r="O1431" s="57">
        <v>17857</v>
      </c>
      <c r="P1431" s="62">
        <f t="shared" si="25"/>
        <v>17857</v>
      </c>
      <c r="Q1431" s="6" t="s">
        <v>590</v>
      </c>
      <c r="R1431" s="16" t="s">
        <v>1476</v>
      </c>
      <c r="S1431" s="38">
        <v>551000000</v>
      </c>
      <c r="T1431" s="26">
        <v>100</v>
      </c>
    </row>
    <row r="1432" spans="1:20" ht="76.5" outlineLevel="1">
      <c r="B1432" s="6">
        <v>1416</v>
      </c>
      <c r="C1432" s="36" t="s">
        <v>945</v>
      </c>
      <c r="D1432" s="43" t="s">
        <v>601</v>
      </c>
      <c r="E1432" s="6" t="s">
        <v>581</v>
      </c>
      <c r="F1432" s="70" t="s">
        <v>582</v>
      </c>
      <c r="G1432" s="70" t="s">
        <v>583</v>
      </c>
      <c r="H1432" s="70" t="s">
        <v>582</v>
      </c>
      <c r="I1432" s="70" t="s">
        <v>584</v>
      </c>
      <c r="J1432" s="70" t="s">
        <v>2251</v>
      </c>
      <c r="K1432" s="70" t="s">
        <v>291</v>
      </c>
      <c r="L1432" s="70" t="s">
        <v>595</v>
      </c>
      <c r="M1432" s="12" t="s">
        <v>918</v>
      </c>
      <c r="N1432" s="26">
        <v>1</v>
      </c>
      <c r="O1432" s="57">
        <v>17857</v>
      </c>
      <c r="P1432" s="62">
        <f t="shared" si="25"/>
        <v>17857</v>
      </c>
      <c r="Q1432" s="6" t="s">
        <v>616</v>
      </c>
      <c r="R1432" s="16" t="s">
        <v>1476</v>
      </c>
      <c r="S1432" s="38">
        <v>591000000</v>
      </c>
      <c r="T1432" s="26">
        <v>100</v>
      </c>
    </row>
    <row r="1433" spans="1:20" ht="76.5" outlineLevel="1">
      <c r="B1433" s="6">
        <v>1417</v>
      </c>
      <c r="C1433" s="36" t="s">
        <v>714</v>
      </c>
      <c r="D1433" s="43" t="s">
        <v>601</v>
      </c>
      <c r="E1433" s="6" t="s">
        <v>581</v>
      </c>
      <c r="F1433" s="70" t="s">
        <v>582</v>
      </c>
      <c r="G1433" s="70" t="s">
        <v>583</v>
      </c>
      <c r="H1433" s="70" t="s">
        <v>582</v>
      </c>
      <c r="I1433" s="70" t="s">
        <v>584</v>
      </c>
      <c r="J1433" s="70" t="s">
        <v>2251</v>
      </c>
      <c r="K1433" s="70" t="s">
        <v>291</v>
      </c>
      <c r="L1433" s="70" t="s">
        <v>595</v>
      </c>
      <c r="M1433" s="12" t="s">
        <v>918</v>
      </c>
      <c r="N1433" s="26">
        <v>1</v>
      </c>
      <c r="O1433" s="57">
        <v>17857</v>
      </c>
      <c r="P1433" s="62">
        <f t="shared" si="25"/>
        <v>17857</v>
      </c>
      <c r="Q1433" s="6" t="s">
        <v>397</v>
      </c>
      <c r="R1433" s="16" t="s">
        <v>1476</v>
      </c>
      <c r="S1433" s="38" t="s">
        <v>2037</v>
      </c>
      <c r="T1433" s="6">
        <v>100</v>
      </c>
    </row>
    <row r="1434" spans="1:20" ht="63.75" outlineLevel="1">
      <c r="B1434" s="6">
        <v>1418</v>
      </c>
      <c r="C1434" s="16" t="s">
        <v>714</v>
      </c>
      <c r="D1434" s="38" t="s">
        <v>601</v>
      </c>
      <c r="E1434" s="58" t="s">
        <v>1164</v>
      </c>
      <c r="F1434" s="70" t="s">
        <v>1931</v>
      </c>
      <c r="G1434" s="70" t="s">
        <v>1165</v>
      </c>
      <c r="H1434" s="70" t="s">
        <v>1932</v>
      </c>
      <c r="I1434" s="70" t="s">
        <v>1166</v>
      </c>
      <c r="J1434" s="70" t="s">
        <v>1933</v>
      </c>
      <c r="K1434" s="70" t="s">
        <v>84</v>
      </c>
      <c r="L1434" s="70" t="s">
        <v>595</v>
      </c>
      <c r="M1434" s="12" t="s">
        <v>918</v>
      </c>
      <c r="N1434" s="26">
        <v>1</v>
      </c>
      <c r="O1434" s="57">
        <v>312500</v>
      </c>
      <c r="P1434" s="62">
        <f t="shared" si="25"/>
        <v>312500</v>
      </c>
      <c r="Q1434" s="6" t="s">
        <v>395</v>
      </c>
      <c r="R1434" s="16" t="s">
        <v>2386</v>
      </c>
      <c r="S1434" s="38" t="s">
        <v>1179</v>
      </c>
      <c r="T1434" s="26">
        <v>50</v>
      </c>
    </row>
    <row r="1435" spans="1:20" ht="114.75" outlineLevel="1">
      <c r="B1435" s="6">
        <v>1419</v>
      </c>
      <c r="C1435" s="36" t="s">
        <v>714</v>
      </c>
      <c r="D1435" s="43" t="s">
        <v>601</v>
      </c>
      <c r="E1435" s="12" t="s">
        <v>585</v>
      </c>
      <c r="F1435" s="70" t="s">
        <v>2056</v>
      </c>
      <c r="G1435" s="70" t="s">
        <v>586</v>
      </c>
      <c r="H1435" s="70" t="s">
        <v>2056</v>
      </c>
      <c r="I1435" s="70" t="s">
        <v>587</v>
      </c>
      <c r="J1435" s="70" t="s">
        <v>2057</v>
      </c>
      <c r="K1435" s="70" t="s">
        <v>85</v>
      </c>
      <c r="L1435" s="70" t="s">
        <v>595</v>
      </c>
      <c r="M1435" s="12" t="s">
        <v>918</v>
      </c>
      <c r="N1435" s="26">
        <v>1</v>
      </c>
      <c r="O1435" s="57">
        <v>959429</v>
      </c>
      <c r="P1435" s="62">
        <f t="shared" si="25"/>
        <v>959429</v>
      </c>
      <c r="Q1435" s="6" t="s">
        <v>397</v>
      </c>
      <c r="R1435" s="6" t="s">
        <v>770</v>
      </c>
      <c r="S1435" s="38" t="s">
        <v>2038</v>
      </c>
      <c r="T1435" s="26">
        <v>0</v>
      </c>
    </row>
    <row r="1436" spans="1:20" ht="114.75" outlineLevel="1">
      <c r="B1436" s="6">
        <v>1420</v>
      </c>
      <c r="C1436" s="16" t="s">
        <v>714</v>
      </c>
      <c r="D1436" s="38" t="s">
        <v>601</v>
      </c>
      <c r="E1436" s="12" t="s">
        <v>585</v>
      </c>
      <c r="F1436" s="70" t="s">
        <v>2056</v>
      </c>
      <c r="G1436" s="70" t="s">
        <v>586</v>
      </c>
      <c r="H1436" s="70" t="s">
        <v>2056</v>
      </c>
      <c r="I1436" s="70" t="s">
        <v>587</v>
      </c>
      <c r="J1436" s="70" t="s">
        <v>2057</v>
      </c>
      <c r="K1436" s="70" t="s">
        <v>85</v>
      </c>
      <c r="L1436" s="70" t="s">
        <v>595</v>
      </c>
      <c r="M1436" s="12" t="s">
        <v>918</v>
      </c>
      <c r="N1436" s="26">
        <v>1</v>
      </c>
      <c r="O1436" s="57">
        <f>P1436</f>
        <v>0</v>
      </c>
      <c r="P1436" s="62">
        <f>64286-64286</f>
        <v>0</v>
      </c>
      <c r="Q1436" s="6" t="s">
        <v>395</v>
      </c>
      <c r="R1436" s="6" t="s">
        <v>770</v>
      </c>
      <c r="S1436" s="38" t="s">
        <v>1025</v>
      </c>
      <c r="T1436" s="6">
        <v>0</v>
      </c>
    </row>
    <row r="1437" spans="1:20" ht="114.75" outlineLevel="1">
      <c r="B1437" s="6">
        <v>1421</v>
      </c>
      <c r="C1437" s="16" t="s">
        <v>714</v>
      </c>
      <c r="D1437" s="38" t="s">
        <v>601</v>
      </c>
      <c r="E1437" s="12" t="s">
        <v>585</v>
      </c>
      <c r="F1437" s="70" t="s">
        <v>2056</v>
      </c>
      <c r="G1437" s="70" t="s">
        <v>586</v>
      </c>
      <c r="H1437" s="70" t="s">
        <v>2056</v>
      </c>
      <c r="I1437" s="70" t="s">
        <v>587</v>
      </c>
      <c r="J1437" s="70" t="s">
        <v>2057</v>
      </c>
      <c r="K1437" s="70" t="s">
        <v>85</v>
      </c>
      <c r="L1437" s="70" t="s">
        <v>595</v>
      </c>
      <c r="M1437" s="12" t="s">
        <v>918</v>
      </c>
      <c r="N1437" s="26">
        <v>1</v>
      </c>
      <c r="O1437" s="57">
        <v>833036</v>
      </c>
      <c r="P1437" s="62">
        <f t="shared" si="25"/>
        <v>833036</v>
      </c>
      <c r="Q1437" s="6" t="s">
        <v>505</v>
      </c>
      <c r="R1437" s="6" t="s">
        <v>770</v>
      </c>
      <c r="S1437" s="38" t="s">
        <v>793</v>
      </c>
      <c r="T1437" s="6">
        <v>0</v>
      </c>
    </row>
    <row r="1438" spans="1:20" ht="114.75" outlineLevel="1">
      <c r="B1438" s="6">
        <v>1422</v>
      </c>
      <c r="C1438" s="16" t="s">
        <v>714</v>
      </c>
      <c r="D1438" s="38" t="s">
        <v>601</v>
      </c>
      <c r="E1438" s="12" t="s">
        <v>585</v>
      </c>
      <c r="F1438" s="70" t="s">
        <v>2056</v>
      </c>
      <c r="G1438" s="70" t="s">
        <v>586</v>
      </c>
      <c r="H1438" s="70" t="s">
        <v>2056</v>
      </c>
      <c r="I1438" s="70" t="s">
        <v>587</v>
      </c>
      <c r="J1438" s="70" t="s">
        <v>2057</v>
      </c>
      <c r="K1438" s="70" t="s">
        <v>85</v>
      </c>
      <c r="L1438" s="70" t="s">
        <v>595</v>
      </c>
      <c r="M1438" s="12" t="s">
        <v>918</v>
      </c>
      <c r="N1438" s="26">
        <v>1</v>
      </c>
      <c r="O1438" s="57">
        <v>342857</v>
      </c>
      <c r="P1438" s="62">
        <f t="shared" si="25"/>
        <v>342857</v>
      </c>
      <c r="Q1438" s="6" t="s">
        <v>395</v>
      </c>
      <c r="R1438" s="6" t="s">
        <v>770</v>
      </c>
      <c r="S1438" s="38" t="s">
        <v>2030</v>
      </c>
      <c r="T1438" s="26">
        <v>0</v>
      </c>
    </row>
    <row r="1439" spans="1:20" ht="114.75" outlineLevel="1">
      <c r="A1439" s="61"/>
      <c r="B1439" s="6">
        <v>1423</v>
      </c>
      <c r="C1439" s="16" t="s">
        <v>714</v>
      </c>
      <c r="D1439" s="38" t="s">
        <v>601</v>
      </c>
      <c r="E1439" s="12" t="s">
        <v>585</v>
      </c>
      <c r="F1439" s="70" t="s">
        <v>2056</v>
      </c>
      <c r="G1439" s="70" t="s">
        <v>586</v>
      </c>
      <c r="H1439" s="70" t="s">
        <v>2056</v>
      </c>
      <c r="I1439" s="70" t="s">
        <v>587</v>
      </c>
      <c r="J1439" s="70" t="s">
        <v>2057</v>
      </c>
      <c r="K1439" s="70" t="s">
        <v>85</v>
      </c>
      <c r="L1439" s="70" t="s">
        <v>1490</v>
      </c>
      <c r="M1439" s="12" t="s">
        <v>918</v>
      </c>
      <c r="N1439" s="26">
        <v>1</v>
      </c>
      <c r="O1439" s="57">
        <v>1785714</v>
      </c>
      <c r="P1439" s="62">
        <f t="shared" si="25"/>
        <v>1785714</v>
      </c>
      <c r="Q1439" s="6" t="s">
        <v>397</v>
      </c>
      <c r="R1439" s="6" t="s">
        <v>770</v>
      </c>
      <c r="S1439" s="38" t="s">
        <v>2035</v>
      </c>
      <c r="T1439" s="26">
        <v>0</v>
      </c>
    </row>
    <row r="1440" spans="1:20" s="14" customFormat="1" ht="114.75">
      <c r="A1440" s="17"/>
      <c r="B1440" s="6">
        <v>1424</v>
      </c>
      <c r="C1440" s="16" t="s">
        <v>714</v>
      </c>
      <c r="D1440" s="38" t="s">
        <v>601</v>
      </c>
      <c r="E1440" s="12" t="s">
        <v>585</v>
      </c>
      <c r="F1440" s="70" t="s">
        <v>2056</v>
      </c>
      <c r="G1440" s="70" t="s">
        <v>586</v>
      </c>
      <c r="H1440" s="70" t="s">
        <v>2056</v>
      </c>
      <c r="I1440" s="70" t="s">
        <v>587</v>
      </c>
      <c r="J1440" s="70" t="s">
        <v>2057</v>
      </c>
      <c r="K1440" s="70" t="s">
        <v>85</v>
      </c>
      <c r="L1440" s="70" t="s">
        <v>595</v>
      </c>
      <c r="M1440" s="12" t="s">
        <v>918</v>
      </c>
      <c r="N1440" s="26">
        <v>1</v>
      </c>
      <c r="O1440" s="57">
        <v>156250</v>
      </c>
      <c r="P1440" s="62">
        <f t="shared" si="25"/>
        <v>156250</v>
      </c>
      <c r="Q1440" s="6" t="s">
        <v>397</v>
      </c>
      <c r="R1440" s="6" t="s">
        <v>770</v>
      </c>
      <c r="S1440" s="38" t="s">
        <v>2031</v>
      </c>
      <c r="T1440" s="26">
        <v>100</v>
      </c>
    </row>
    <row r="1441" spans="1:20" ht="114.75" outlineLevel="1">
      <c r="B1441" s="6">
        <v>1425</v>
      </c>
      <c r="C1441" s="16" t="s">
        <v>714</v>
      </c>
      <c r="D1441" s="38" t="s">
        <v>601</v>
      </c>
      <c r="E1441" s="12" t="s">
        <v>585</v>
      </c>
      <c r="F1441" s="70" t="s">
        <v>2056</v>
      </c>
      <c r="G1441" s="70" t="s">
        <v>586</v>
      </c>
      <c r="H1441" s="70" t="s">
        <v>2056</v>
      </c>
      <c r="I1441" s="70" t="s">
        <v>587</v>
      </c>
      <c r="J1441" s="70" t="s">
        <v>2057</v>
      </c>
      <c r="K1441" s="70" t="s">
        <v>85</v>
      </c>
      <c r="L1441" s="70" t="s">
        <v>595</v>
      </c>
      <c r="M1441" s="12" t="s">
        <v>918</v>
      </c>
      <c r="N1441" s="26">
        <v>1</v>
      </c>
      <c r="O1441" s="57">
        <v>1000000</v>
      </c>
      <c r="P1441" s="62">
        <f t="shared" si="25"/>
        <v>1000000</v>
      </c>
      <c r="Q1441" s="6" t="s">
        <v>397</v>
      </c>
      <c r="R1441" s="6" t="s">
        <v>770</v>
      </c>
      <c r="S1441" s="38" t="s">
        <v>637</v>
      </c>
      <c r="T1441" s="26">
        <v>0</v>
      </c>
    </row>
    <row r="1442" spans="1:20" ht="114.75" outlineLevel="1">
      <c r="B1442" s="6">
        <v>1426</v>
      </c>
      <c r="C1442" s="16" t="s">
        <v>714</v>
      </c>
      <c r="D1442" s="38" t="s">
        <v>601</v>
      </c>
      <c r="E1442" s="12" t="s">
        <v>585</v>
      </c>
      <c r="F1442" s="70" t="s">
        <v>2056</v>
      </c>
      <c r="G1442" s="70" t="s">
        <v>586</v>
      </c>
      <c r="H1442" s="70" t="s">
        <v>2056</v>
      </c>
      <c r="I1442" s="70" t="s">
        <v>587</v>
      </c>
      <c r="J1442" s="70" t="s">
        <v>2057</v>
      </c>
      <c r="K1442" s="70" t="s">
        <v>85</v>
      </c>
      <c r="L1442" s="70" t="s">
        <v>595</v>
      </c>
      <c r="M1442" s="12" t="s">
        <v>918</v>
      </c>
      <c r="N1442" s="26">
        <v>1</v>
      </c>
      <c r="O1442" s="57">
        <v>214286</v>
      </c>
      <c r="P1442" s="62">
        <f t="shared" si="25"/>
        <v>214286</v>
      </c>
      <c r="Q1442" s="6" t="s">
        <v>519</v>
      </c>
      <c r="R1442" s="6" t="s">
        <v>770</v>
      </c>
      <c r="S1442" s="38">
        <v>311000000</v>
      </c>
      <c r="T1442" s="26">
        <v>100</v>
      </c>
    </row>
    <row r="1443" spans="1:20" ht="114.75" outlineLevel="1">
      <c r="B1443" s="6">
        <v>1427</v>
      </c>
      <c r="C1443" s="16" t="s">
        <v>714</v>
      </c>
      <c r="D1443" s="38" t="s">
        <v>601</v>
      </c>
      <c r="E1443" s="12" t="s">
        <v>585</v>
      </c>
      <c r="F1443" s="70" t="s">
        <v>2056</v>
      </c>
      <c r="G1443" s="70" t="s">
        <v>586</v>
      </c>
      <c r="H1443" s="70" t="s">
        <v>2056</v>
      </c>
      <c r="I1443" s="70" t="s">
        <v>587</v>
      </c>
      <c r="J1443" s="70" t="s">
        <v>2057</v>
      </c>
      <c r="K1443" s="70" t="s">
        <v>85</v>
      </c>
      <c r="L1443" s="70" t="s">
        <v>595</v>
      </c>
      <c r="M1443" s="12" t="s">
        <v>918</v>
      </c>
      <c r="N1443" s="26">
        <v>1</v>
      </c>
      <c r="O1443" s="57">
        <v>82143</v>
      </c>
      <c r="P1443" s="62">
        <f t="shared" si="25"/>
        <v>82143</v>
      </c>
      <c r="Q1443" s="6" t="s">
        <v>397</v>
      </c>
      <c r="R1443" s="6" t="s">
        <v>770</v>
      </c>
      <c r="S1443" s="38" t="s">
        <v>2032</v>
      </c>
      <c r="T1443" s="6">
        <v>30</v>
      </c>
    </row>
    <row r="1444" spans="1:20" ht="114.75" outlineLevel="1">
      <c r="B1444" s="6">
        <v>1428</v>
      </c>
      <c r="C1444" s="16" t="s">
        <v>714</v>
      </c>
      <c r="D1444" s="38" t="s">
        <v>601</v>
      </c>
      <c r="E1444" s="12" t="s">
        <v>585</v>
      </c>
      <c r="F1444" s="70" t="s">
        <v>2056</v>
      </c>
      <c r="G1444" s="70" t="s">
        <v>586</v>
      </c>
      <c r="H1444" s="70" t="s">
        <v>2056</v>
      </c>
      <c r="I1444" s="70" t="s">
        <v>587</v>
      </c>
      <c r="J1444" s="70" t="s">
        <v>2057</v>
      </c>
      <c r="K1444" s="70" t="s">
        <v>85</v>
      </c>
      <c r="L1444" s="70" t="s">
        <v>595</v>
      </c>
      <c r="M1444" s="12" t="s">
        <v>918</v>
      </c>
      <c r="N1444" s="26">
        <v>1</v>
      </c>
      <c r="O1444" s="57">
        <v>892857</v>
      </c>
      <c r="P1444" s="62">
        <f t="shared" si="25"/>
        <v>892857</v>
      </c>
      <c r="Q1444" s="6" t="s">
        <v>397</v>
      </c>
      <c r="R1444" s="6" t="s">
        <v>770</v>
      </c>
      <c r="S1444" s="38">
        <v>351000000</v>
      </c>
      <c r="T1444" s="26">
        <v>0</v>
      </c>
    </row>
    <row r="1445" spans="1:20" ht="114.75" outlineLevel="1">
      <c r="B1445" s="6">
        <v>1429</v>
      </c>
      <c r="C1445" s="16" t="s">
        <v>714</v>
      </c>
      <c r="D1445" s="38" t="s">
        <v>601</v>
      </c>
      <c r="E1445" s="12" t="s">
        <v>585</v>
      </c>
      <c r="F1445" s="70" t="s">
        <v>2056</v>
      </c>
      <c r="G1445" s="70" t="s">
        <v>586</v>
      </c>
      <c r="H1445" s="70" t="s">
        <v>2056</v>
      </c>
      <c r="I1445" s="70" t="s">
        <v>587</v>
      </c>
      <c r="J1445" s="70" t="s">
        <v>2057</v>
      </c>
      <c r="K1445" s="70" t="s">
        <v>85</v>
      </c>
      <c r="L1445" s="70" t="s">
        <v>595</v>
      </c>
      <c r="M1445" s="12" t="s">
        <v>918</v>
      </c>
      <c r="N1445" s="26">
        <v>1</v>
      </c>
      <c r="O1445" s="57">
        <v>883929</v>
      </c>
      <c r="P1445" s="62">
        <f t="shared" si="25"/>
        <v>883929</v>
      </c>
      <c r="Q1445" s="6" t="s">
        <v>616</v>
      </c>
      <c r="R1445" s="6" t="s">
        <v>770</v>
      </c>
      <c r="S1445" s="38" t="s">
        <v>929</v>
      </c>
      <c r="T1445" s="26">
        <v>50</v>
      </c>
    </row>
    <row r="1446" spans="1:20" ht="114.75" outlineLevel="1">
      <c r="B1446" s="6">
        <v>1430</v>
      </c>
      <c r="C1446" s="16" t="s">
        <v>714</v>
      </c>
      <c r="D1446" s="38" t="s">
        <v>601</v>
      </c>
      <c r="E1446" s="12" t="s">
        <v>585</v>
      </c>
      <c r="F1446" s="70" t="s">
        <v>2056</v>
      </c>
      <c r="G1446" s="70" t="s">
        <v>586</v>
      </c>
      <c r="H1446" s="70" t="s">
        <v>2056</v>
      </c>
      <c r="I1446" s="70" t="s">
        <v>587</v>
      </c>
      <c r="J1446" s="70" t="s">
        <v>2057</v>
      </c>
      <c r="K1446" s="70" t="s">
        <v>85</v>
      </c>
      <c r="L1446" s="70" t="s">
        <v>595</v>
      </c>
      <c r="M1446" s="12" t="s">
        <v>918</v>
      </c>
      <c r="N1446" s="26">
        <v>1</v>
      </c>
      <c r="O1446" s="57">
        <v>313951</v>
      </c>
      <c r="P1446" s="62">
        <f t="shared" si="25"/>
        <v>313951</v>
      </c>
      <c r="Q1446" s="6" t="s">
        <v>397</v>
      </c>
      <c r="R1446" s="6" t="s">
        <v>770</v>
      </c>
      <c r="S1446" s="38">
        <v>431000000</v>
      </c>
      <c r="T1446" s="26">
        <v>0</v>
      </c>
    </row>
    <row r="1447" spans="1:20" ht="72.75" customHeight="1" outlineLevel="1">
      <c r="B1447" s="6">
        <v>1431</v>
      </c>
      <c r="C1447" s="36" t="s">
        <v>714</v>
      </c>
      <c r="D1447" s="43" t="s">
        <v>601</v>
      </c>
      <c r="E1447" s="12" t="s">
        <v>585</v>
      </c>
      <c r="F1447" s="70" t="s">
        <v>2056</v>
      </c>
      <c r="G1447" s="70" t="s">
        <v>586</v>
      </c>
      <c r="H1447" s="70" t="s">
        <v>2056</v>
      </c>
      <c r="I1447" s="70" t="s">
        <v>587</v>
      </c>
      <c r="J1447" s="70" t="s">
        <v>2057</v>
      </c>
      <c r="K1447" s="70" t="s">
        <v>85</v>
      </c>
      <c r="L1447" s="70" t="s">
        <v>595</v>
      </c>
      <c r="M1447" s="12" t="s">
        <v>918</v>
      </c>
      <c r="N1447" s="26">
        <v>1</v>
      </c>
      <c r="O1447" s="57">
        <v>397321</v>
      </c>
      <c r="P1447" s="62">
        <f t="shared" si="25"/>
        <v>397321</v>
      </c>
      <c r="Q1447" s="6" t="s">
        <v>505</v>
      </c>
      <c r="R1447" s="6" t="s">
        <v>770</v>
      </c>
      <c r="S1447" s="38" t="s">
        <v>719</v>
      </c>
      <c r="T1447" s="26">
        <v>0</v>
      </c>
    </row>
    <row r="1448" spans="1:20" s="39" customFormat="1" ht="114.75">
      <c r="B1448" s="6">
        <v>1432</v>
      </c>
      <c r="C1448" s="16" t="s">
        <v>714</v>
      </c>
      <c r="D1448" s="38" t="s">
        <v>601</v>
      </c>
      <c r="E1448" s="12" t="s">
        <v>585</v>
      </c>
      <c r="F1448" s="70" t="s">
        <v>2056</v>
      </c>
      <c r="G1448" s="70" t="s">
        <v>586</v>
      </c>
      <c r="H1448" s="70" t="s">
        <v>2056</v>
      </c>
      <c r="I1448" s="70" t="s">
        <v>587</v>
      </c>
      <c r="J1448" s="70" t="s">
        <v>2057</v>
      </c>
      <c r="K1448" s="70" t="s">
        <v>85</v>
      </c>
      <c r="L1448" s="70" t="s">
        <v>595</v>
      </c>
      <c r="M1448" s="12" t="s">
        <v>918</v>
      </c>
      <c r="N1448" s="26">
        <v>1</v>
      </c>
      <c r="O1448" s="57">
        <v>156250</v>
      </c>
      <c r="P1448" s="62">
        <f t="shared" si="25"/>
        <v>156250</v>
      </c>
      <c r="Q1448" s="6" t="s">
        <v>395</v>
      </c>
      <c r="R1448" s="6" t="s">
        <v>770</v>
      </c>
      <c r="S1448" s="38">
        <v>551000000</v>
      </c>
      <c r="T1448" s="26">
        <v>0</v>
      </c>
    </row>
    <row r="1449" spans="1:20" ht="114.75" outlineLevel="1">
      <c r="B1449" s="6">
        <v>1433</v>
      </c>
      <c r="C1449" s="16" t="s">
        <v>945</v>
      </c>
      <c r="D1449" s="6" t="s">
        <v>601</v>
      </c>
      <c r="E1449" s="12" t="s">
        <v>585</v>
      </c>
      <c r="F1449" s="70" t="s">
        <v>2056</v>
      </c>
      <c r="G1449" s="70" t="s">
        <v>586</v>
      </c>
      <c r="H1449" s="70" t="s">
        <v>2056</v>
      </c>
      <c r="I1449" s="70" t="s">
        <v>587</v>
      </c>
      <c r="J1449" s="70" t="s">
        <v>2057</v>
      </c>
      <c r="K1449" s="70" t="s">
        <v>85</v>
      </c>
      <c r="L1449" s="70" t="s">
        <v>595</v>
      </c>
      <c r="M1449" s="12" t="s">
        <v>918</v>
      </c>
      <c r="N1449" s="26">
        <v>1</v>
      </c>
      <c r="O1449" s="57">
        <v>316071</v>
      </c>
      <c r="P1449" s="62">
        <f t="shared" si="25"/>
        <v>316071</v>
      </c>
      <c r="Q1449" s="6" t="s">
        <v>592</v>
      </c>
      <c r="R1449" s="6" t="s">
        <v>770</v>
      </c>
      <c r="S1449" s="38">
        <v>591000000</v>
      </c>
      <c r="T1449" s="26">
        <v>30</v>
      </c>
    </row>
    <row r="1450" spans="1:20" ht="114.75" outlineLevel="1">
      <c r="B1450" s="6">
        <v>1434</v>
      </c>
      <c r="C1450" s="16" t="s">
        <v>714</v>
      </c>
      <c r="D1450" s="38" t="s">
        <v>601</v>
      </c>
      <c r="E1450" s="12" t="s">
        <v>585</v>
      </c>
      <c r="F1450" s="70" t="s">
        <v>2056</v>
      </c>
      <c r="G1450" s="70" t="s">
        <v>586</v>
      </c>
      <c r="H1450" s="70" t="s">
        <v>2056</v>
      </c>
      <c r="I1450" s="70" t="s">
        <v>587</v>
      </c>
      <c r="J1450" s="70" t="s">
        <v>2057</v>
      </c>
      <c r="K1450" s="70" t="s">
        <v>85</v>
      </c>
      <c r="L1450" s="70" t="s">
        <v>595</v>
      </c>
      <c r="M1450" s="12" t="s">
        <v>918</v>
      </c>
      <c r="N1450" s="26">
        <v>1</v>
      </c>
      <c r="O1450" s="57">
        <v>312500</v>
      </c>
      <c r="P1450" s="62">
        <f t="shared" si="25"/>
        <v>312500</v>
      </c>
      <c r="Q1450" s="6" t="s">
        <v>397</v>
      </c>
      <c r="R1450" s="6" t="s">
        <v>770</v>
      </c>
      <c r="S1450" s="38" t="s">
        <v>2037</v>
      </c>
      <c r="T1450" s="6">
        <v>0</v>
      </c>
    </row>
    <row r="1451" spans="1:20" ht="51" outlineLevel="1">
      <c r="B1451" s="6">
        <v>1435</v>
      </c>
      <c r="C1451" s="16" t="s">
        <v>714</v>
      </c>
      <c r="D1451" s="38" t="s">
        <v>601</v>
      </c>
      <c r="E1451" s="58" t="s">
        <v>1167</v>
      </c>
      <c r="F1451" s="70" t="s">
        <v>1935</v>
      </c>
      <c r="G1451" s="70" t="s">
        <v>1168</v>
      </c>
      <c r="H1451" s="70" t="s">
        <v>1936</v>
      </c>
      <c r="I1451" s="70" t="s">
        <v>1169</v>
      </c>
      <c r="J1451" s="70" t="s">
        <v>1937</v>
      </c>
      <c r="K1451" s="70" t="s">
        <v>90</v>
      </c>
      <c r="L1451" s="70" t="s">
        <v>595</v>
      </c>
      <c r="M1451" s="12" t="s">
        <v>918</v>
      </c>
      <c r="N1451" s="26">
        <v>1</v>
      </c>
      <c r="O1451" s="57">
        <f>P1451</f>
        <v>1828657</v>
      </c>
      <c r="P1451" s="62">
        <f>892857-714200+1650000</f>
        <v>1828657</v>
      </c>
      <c r="Q1451" s="6" t="s">
        <v>616</v>
      </c>
      <c r="R1451" s="6" t="s">
        <v>770</v>
      </c>
      <c r="S1451" s="38" t="s">
        <v>1179</v>
      </c>
      <c r="T1451" s="26">
        <v>0</v>
      </c>
    </row>
    <row r="1452" spans="1:20" ht="89.25" outlineLevel="1">
      <c r="B1452" s="6">
        <v>1436</v>
      </c>
      <c r="C1452" s="36" t="s">
        <v>714</v>
      </c>
      <c r="D1452" s="43" t="s">
        <v>601</v>
      </c>
      <c r="E1452" s="12" t="s">
        <v>588</v>
      </c>
      <c r="F1452" s="70" t="s">
        <v>2081</v>
      </c>
      <c r="G1452" s="70" t="s">
        <v>589</v>
      </c>
      <c r="H1452" s="70" t="s">
        <v>2081</v>
      </c>
      <c r="I1452" s="70" t="s">
        <v>589</v>
      </c>
      <c r="J1452" s="70" t="s">
        <v>2080</v>
      </c>
      <c r="K1452" s="70" t="s">
        <v>93</v>
      </c>
      <c r="L1452" s="70" t="s">
        <v>595</v>
      </c>
      <c r="M1452" s="12" t="s">
        <v>918</v>
      </c>
      <c r="N1452" s="26">
        <v>1</v>
      </c>
      <c r="O1452" s="57">
        <v>3251325</v>
      </c>
      <c r="P1452" s="62">
        <f t="shared" si="25"/>
        <v>3251325</v>
      </c>
      <c r="Q1452" s="6" t="s">
        <v>590</v>
      </c>
      <c r="R1452" s="6" t="s">
        <v>770</v>
      </c>
      <c r="S1452" s="38" t="s">
        <v>2038</v>
      </c>
      <c r="T1452" s="26">
        <v>0</v>
      </c>
    </row>
    <row r="1453" spans="1:20" ht="89.25" outlineLevel="1">
      <c r="B1453" s="6">
        <v>1437</v>
      </c>
      <c r="C1453" s="16" t="s">
        <v>714</v>
      </c>
      <c r="D1453" s="38" t="s">
        <v>601</v>
      </c>
      <c r="E1453" s="12" t="s">
        <v>588</v>
      </c>
      <c r="F1453" s="70" t="s">
        <v>2081</v>
      </c>
      <c r="G1453" s="70" t="s">
        <v>589</v>
      </c>
      <c r="H1453" s="70" t="s">
        <v>2081</v>
      </c>
      <c r="I1453" s="70" t="s">
        <v>589</v>
      </c>
      <c r="J1453" s="70" t="s">
        <v>2080</v>
      </c>
      <c r="K1453" s="70" t="s">
        <v>93</v>
      </c>
      <c r="L1453" s="70" t="s">
        <v>595</v>
      </c>
      <c r="M1453" s="12" t="s">
        <v>918</v>
      </c>
      <c r="N1453" s="26">
        <v>1</v>
      </c>
      <c r="O1453" s="57">
        <f>P1453</f>
        <v>0</v>
      </c>
      <c r="P1453" s="62">
        <f>2978509-676972-2301537</f>
        <v>0</v>
      </c>
      <c r="Q1453" s="6" t="s">
        <v>397</v>
      </c>
      <c r="R1453" s="6" t="s">
        <v>770</v>
      </c>
      <c r="S1453" s="38" t="s">
        <v>1025</v>
      </c>
      <c r="T1453" s="6">
        <v>0</v>
      </c>
    </row>
    <row r="1454" spans="1:20" ht="89.25" outlineLevel="1">
      <c r="B1454" s="6">
        <v>1438</v>
      </c>
      <c r="C1454" s="16" t="s">
        <v>714</v>
      </c>
      <c r="D1454" s="38" t="s">
        <v>601</v>
      </c>
      <c r="E1454" s="12" t="s">
        <v>588</v>
      </c>
      <c r="F1454" s="70" t="s">
        <v>2081</v>
      </c>
      <c r="G1454" s="70" t="s">
        <v>589</v>
      </c>
      <c r="H1454" s="70" t="s">
        <v>2081</v>
      </c>
      <c r="I1454" s="70" t="s">
        <v>589</v>
      </c>
      <c r="J1454" s="70" t="s">
        <v>2080</v>
      </c>
      <c r="K1454" s="70" t="s">
        <v>93</v>
      </c>
      <c r="L1454" s="70" t="s">
        <v>1490</v>
      </c>
      <c r="M1454" s="12" t="s">
        <v>918</v>
      </c>
      <c r="N1454" s="26">
        <v>1</v>
      </c>
      <c r="O1454" s="57">
        <v>6905572</v>
      </c>
      <c r="P1454" s="62">
        <f t="shared" si="25"/>
        <v>6905572</v>
      </c>
      <c r="Q1454" s="6" t="s">
        <v>870</v>
      </c>
      <c r="R1454" s="6" t="s">
        <v>770</v>
      </c>
      <c r="S1454" s="38" t="s">
        <v>793</v>
      </c>
      <c r="T1454" s="26">
        <v>0</v>
      </c>
    </row>
    <row r="1455" spans="1:20" s="14" customFormat="1" ht="89.25">
      <c r="A1455" s="17"/>
      <c r="B1455" s="6">
        <v>1439</v>
      </c>
      <c r="C1455" s="16" t="s">
        <v>714</v>
      </c>
      <c r="D1455" s="38" t="s">
        <v>601</v>
      </c>
      <c r="E1455" s="12" t="s">
        <v>588</v>
      </c>
      <c r="F1455" s="70" t="s">
        <v>2081</v>
      </c>
      <c r="G1455" s="70" t="s">
        <v>589</v>
      </c>
      <c r="H1455" s="70" t="s">
        <v>2081</v>
      </c>
      <c r="I1455" s="70" t="s">
        <v>589</v>
      </c>
      <c r="J1455" s="70" t="s">
        <v>2080</v>
      </c>
      <c r="K1455" s="70" t="s">
        <v>93</v>
      </c>
      <c r="L1455" s="70" t="s">
        <v>595</v>
      </c>
      <c r="M1455" s="12" t="s">
        <v>918</v>
      </c>
      <c r="N1455" s="26">
        <v>1</v>
      </c>
      <c r="O1455" s="57">
        <v>2250397</v>
      </c>
      <c r="P1455" s="62">
        <f t="shared" si="25"/>
        <v>2250397</v>
      </c>
      <c r="Q1455" s="6" t="s">
        <v>395</v>
      </c>
      <c r="R1455" s="16" t="s">
        <v>1476</v>
      </c>
      <c r="S1455" s="38" t="s">
        <v>2031</v>
      </c>
      <c r="T1455" s="26">
        <v>0</v>
      </c>
    </row>
    <row r="1456" spans="1:20" ht="89.25" outlineLevel="1">
      <c r="B1456" s="6">
        <v>1440</v>
      </c>
      <c r="C1456" s="16" t="s">
        <v>714</v>
      </c>
      <c r="D1456" s="38" t="s">
        <v>601</v>
      </c>
      <c r="E1456" s="12" t="s">
        <v>588</v>
      </c>
      <c r="F1456" s="70" t="s">
        <v>2081</v>
      </c>
      <c r="G1456" s="70" t="s">
        <v>589</v>
      </c>
      <c r="H1456" s="70" t="s">
        <v>2081</v>
      </c>
      <c r="I1456" s="70" t="s">
        <v>589</v>
      </c>
      <c r="J1456" s="70" t="s">
        <v>2080</v>
      </c>
      <c r="K1456" s="70" t="s">
        <v>93</v>
      </c>
      <c r="L1456" s="70" t="s">
        <v>1489</v>
      </c>
      <c r="M1456" s="12" t="s">
        <v>918</v>
      </c>
      <c r="N1456" s="26">
        <v>1</v>
      </c>
      <c r="O1456" s="57">
        <v>3573939</v>
      </c>
      <c r="P1456" s="62">
        <f t="shared" si="25"/>
        <v>3573939</v>
      </c>
      <c r="Q1456" s="6" t="s">
        <v>590</v>
      </c>
      <c r="R1456" s="16" t="s">
        <v>1476</v>
      </c>
      <c r="S1456" s="38" t="s">
        <v>637</v>
      </c>
      <c r="T1456" s="26">
        <v>0</v>
      </c>
    </row>
    <row r="1457" spans="1:20" ht="89.25" outlineLevel="1">
      <c r="A1457" s="61"/>
      <c r="B1457" s="6">
        <v>1441</v>
      </c>
      <c r="C1457" s="16" t="s">
        <v>714</v>
      </c>
      <c r="D1457" s="38" t="s">
        <v>601</v>
      </c>
      <c r="E1457" s="12" t="s">
        <v>588</v>
      </c>
      <c r="F1457" s="70" t="s">
        <v>2081</v>
      </c>
      <c r="G1457" s="70" t="s">
        <v>589</v>
      </c>
      <c r="H1457" s="70" t="s">
        <v>2081</v>
      </c>
      <c r="I1457" s="70" t="s">
        <v>589</v>
      </c>
      <c r="J1457" s="70" t="s">
        <v>2080</v>
      </c>
      <c r="K1457" s="70" t="s">
        <v>93</v>
      </c>
      <c r="L1457" s="70" t="s">
        <v>1490</v>
      </c>
      <c r="M1457" s="12" t="s">
        <v>918</v>
      </c>
      <c r="N1457" s="26">
        <v>1</v>
      </c>
      <c r="O1457" s="57">
        <f>P1457/N1457</f>
        <v>0</v>
      </c>
      <c r="P1457" s="62">
        <f>31028262-31028262</f>
        <v>0</v>
      </c>
      <c r="Q1457" s="6" t="s">
        <v>395</v>
      </c>
      <c r="R1457" s="16" t="s">
        <v>1476</v>
      </c>
      <c r="S1457" s="38" t="s">
        <v>2035</v>
      </c>
      <c r="T1457" s="26">
        <v>0</v>
      </c>
    </row>
    <row r="1458" spans="1:20" ht="89.25" outlineLevel="1">
      <c r="B1458" s="6">
        <v>1442</v>
      </c>
      <c r="C1458" s="16" t="s">
        <v>714</v>
      </c>
      <c r="D1458" s="38" t="s">
        <v>601</v>
      </c>
      <c r="E1458" s="12" t="s">
        <v>588</v>
      </c>
      <c r="F1458" s="70" t="s">
        <v>2081</v>
      </c>
      <c r="G1458" s="70" t="s">
        <v>589</v>
      </c>
      <c r="H1458" s="70" t="s">
        <v>2081</v>
      </c>
      <c r="I1458" s="70" t="s">
        <v>589</v>
      </c>
      <c r="J1458" s="70" t="s">
        <v>2080</v>
      </c>
      <c r="K1458" s="70" t="s">
        <v>93</v>
      </c>
      <c r="L1458" s="70" t="s">
        <v>1490</v>
      </c>
      <c r="M1458" s="12" t="s">
        <v>918</v>
      </c>
      <c r="N1458" s="26">
        <v>1</v>
      </c>
      <c r="O1458" s="57">
        <v>9485949</v>
      </c>
      <c r="P1458" s="62">
        <f t="shared" si="25"/>
        <v>9485949</v>
      </c>
      <c r="Q1458" s="6" t="s">
        <v>590</v>
      </c>
      <c r="R1458" s="16" t="s">
        <v>1476</v>
      </c>
      <c r="S1458" s="38" t="s">
        <v>2030</v>
      </c>
      <c r="T1458" s="26">
        <v>0</v>
      </c>
    </row>
    <row r="1459" spans="1:20" ht="89.25" outlineLevel="1">
      <c r="B1459" s="6">
        <v>1443</v>
      </c>
      <c r="C1459" s="16" t="s">
        <v>714</v>
      </c>
      <c r="D1459" s="38" t="s">
        <v>601</v>
      </c>
      <c r="E1459" s="12" t="s">
        <v>588</v>
      </c>
      <c r="F1459" s="70" t="s">
        <v>2081</v>
      </c>
      <c r="G1459" s="70" t="s">
        <v>589</v>
      </c>
      <c r="H1459" s="70" t="s">
        <v>2081</v>
      </c>
      <c r="I1459" s="70" t="s">
        <v>589</v>
      </c>
      <c r="J1459" s="70" t="s">
        <v>2080</v>
      </c>
      <c r="K1459" s="70" t="s">
        <v>93</v>
      </c>
      <c r="L1459" s="70" t="s">
        <v>1490</v>
      </c>
      <c r="M1459" s="12" t="s">
        <v>918</v>
      </c>
      <c r="N1459" s="26">
        <v>1</v>
      </c>
      <c r="O1459" s="57">
        <v>8868966</v>
      </c>
      <c r="P1459" s="62">
        <f t="shared" si="25"/>
        <v>8868966</v>
      </c>
      <c r="Q1459" s="6" t="s">
        <v>870</v>
      </c>
      <c r="R1459" s="6" t="s">
        <v>770</v>
      </c>
      <c r="S1459" s="38">
        <v>311000000</v>
      </c>
      <c r="T1459" s="26">
        <v>0</v>
      </c>
    </row>
    <row r="1460" spans="1:20" ht="89.25" outlineLevel="1">
      <c r="B1460" s="6">
        <v>1444</v>
      </c>
      <c r="C1460" s="16" t="s">
        <v>714</v>
      </c>
      <c r="D1460" s="38" t="s">
        <v>601</v>
      </c>
      <c r="E1460" s="12" t="s">
        <v>588</v>
      </c>
      <c r="F1460" s="70" t="s">
        <v>2081</v>
      </c>
      <c r="G1460" s="70" t="s">
        <v>589</v>
      </c>
      <c r="H1460" s="70" t="s">
        <v>2081</v>
      </c>
      <c r="I1460" s="70" t="s">
        <v>589</v>
      </c>
      <c r="J1460" s="70" t="s">
        <v>2080</v>
      </c>
      <c r="K1460" s="70" t="s">
        <v>93</v>
      </c>
      <c r="L1460" s="70" t="s">
        <v>1489</v>
      </c>
      <c r="M1460" s="12" t="s">
        <v>918</v>
      </c>
      <c r="N1460" s="26">
        <v>1</v>
      </c>
      <c r="O1460" s="57">
        <v>3663477</v>
      </c>
      <c r="P1460" s="62">
        <f t="shared" si="25"/>
        <v>3663477</v>
      </c>
      <c r="Q1460" s="6" t="s">
        <v>870</v>
      </c>
      <c r="R1460" s="6" t="s">
        <v>770</v>
      </c>
      <c r="S1460" s="38" t="s">
        <v>2032</v>
      </c>
      <c r="T1460" s="6">
        <v>0</v>
      </c>
    </row>
    <row r="1461" spans="1:20" ht="89.25" outlineLevel="1">
      <c r="B1461" s="6">
        <v>1445</v>
      </c>
      <c r="C1461" s="16" t="s">
        <v>714</v>
      </c>
      <c r="D1461" s="38" t="s">
        <v>601</v>
      </c>
      <c r="E1461" s="12" t="s">
        <v>588</v>
      </c>
      <c r="F1461" s="70" t="s">
        <v>2081</v>
      </c>
      <c r="G1461" s="70" t="s">
        <v>589</v>
      </c>
      <c r="H1461" s="70" t="s">
        <v>2081</v>
      </c>
      <c r="I1461" s="70" t="s">
        <v>589</v>
      </c>
      <c r="J1461" s="70" t="s">
        <v>2080</v>
      </c>
      <c r="K1461" s="70" t="s">
        <v>93</v>
      </c>
      <c r="L1461" s="70" t="s">
        <v>1489</v>
      </c>
      <c r="M1461" s="12" t="s">
        <v>918</v>
      </c>
      <c r="N1461" s="26">
        <v>1</v>
      </c>
      <c r="O1461" s="57">
        <v>5050868</v>
      </c>
      <c r="P1461" s="62">
        <f t="shared" si="25"/>
        <v>5050868</v>
      </c>
      <c r="Q1461" s="6" t="s">
        <v>590</v>
      </c>
      <c r="R1461" s="16" t="s">
        <v>1476</v>
      </c>
      <c r="S1461" s="38">
        <v>351000000</v>
      </c>
      <c r="T1461" s="26">
        <v>0</v>
      </c>
    </row>
    <row r="1462" spans="1:20" ht="89.25" outlineLevel="1">
      <c r="B1462" s="6">
        <v>1446</v>
      </c>
      <c r="C1462" s="16" t="s">
        <v>714</v>
      </c>
      <c r="D1462" s="38" t="s">
        <v>601</v>
      </c>
      <c r="E1462" s="12" t="s">
        <v>588</v>
      </c>
      <c r="F1462" s="70" t="s">
        <v>2081</v>
      </c>
      <c r="G1462" s="70" t="s">
        <v>589</v>
      </c>
      <c r="H1462" s="70" t="s">
        <v>2081</v>
      </c>
      <c r="I1462" s="70" t="s">
        <v>589</v>
      </c>
      <c r="J1462" s="70" t="s">
        <v>2080</v>
      </c>
      <c r="K1462" s="70" t="s">
        <v>93</v>
      </c>
      <c r="L1462" s="70" t="s">
        <v>595</v>
      </c>
      <c r="M1462" s="12" t="s">
        <v>918</v>
      </c>
      <c r="N1462" s="26">
        <v>1</v>
      </c>
      <c r="O1462" s="57">
        <v>1934081</v>
      </c>
      <c r="P1462" s="62">
        <f t="shared" si="25"/>
        <v>1934081</v>
      </c>
      <c r="Q1462" s="6" t="s">
        <v>590</v>
      </c>
      <c r="R1462" s="16" t="s">
        <v>1476</v>
      </c>
      <c r="S1462" s="38" t="s">
        <v>929</v>
      </c>
      <c r="T1462" s="26">
        <v>0</v>
      </c>
    </row>
    <row r="1463" spans="1:20" ht="89.25" outlineLevel="1">
      <c r="B1463" s="6">
        <v>1447</v>
      </c>
      <c r="C1463" s="16" t="s">
        <v>714</v>
      </c>
      <c r="D1463" s="38" t="s">
        <v>601</v>
      </c>
      <c r="E1463" s="12" t="s">
        <v>588</v>
      </c>
      <c r="F1463" s="70" t="s">
        <v>2081</v>
      </c>
      <c r="G1463" s="70" t="s">
        <v>589</v>
      </c>
      <c r="H1463" s="70" t="s">
        <v>2081</v>
      </c>
      <c r="I1463" s="70" t="s">
        <v>589</v>
      </c>
      <c r="J1463" s="70" t="s">
        <v>2080</v>
      </c>
      <c r="K1463" s="70" t="s">
        <v>93</v>
      </c>
      <c r="L1463" s="70" t="s">
        <v>1489</v>
      </c>
      <c r="M1463" s="12" t="s">
        <v>918</v>
      </c>
      <c r="N1463" s="26">
        <v>1</v>
      </c>
      <c r="O1463" s="57">
        <v>3367080</v>
      </c>
      <c r="P1463" s="62">
        <f t="shared" si="25"/>
        <v>3367080</v>
      </c>
      <c r="Q1463" s="49" t="s">
        <v>590</v>
      </c>
      <c r="R1463" s="16" t="s">
        <v>1476</v>
      </c>
      <c r="S1463" s="38">
        <v>431000000</v>
      </c>
      <c r="T1463" s="26">
        <v>0</v>
      </c>
    </row>
    <row r="1464" spans="1:20" ht="89.25" outlineLevel="1">
      <c r="B1464" s="6">
        <v>1448</v>
      </c>
      <c r="C1464" s="16" t="s">
        <v>714</v>
      </c>
      <c r="D1464" s="38" t="s">
        <v>601</v>
      </c>
      <c r="E1464" s="12" t="s">
        <v>588</v>
      </c>
      <c r="F1464" s="70" t="s">
        <v>2081</v>
      </c>
      <c r="G1464" s="70" t="s">
        <v>589</v>
      </c>
      <c r="H1464" s="70" t="s">
        <v>2081</v>
      </c>
      <c r="I1464" s="70" t="s">
        <v>589</v>
      </c>
      <c r="J1464" s="70" t="s">
        <v>2080</v>
      </c>
      <c r="K1464" s="70" t="s">
        <v>93</v>
      </c>
      <c r="L1464" s="70" t="s">
        <v>595</v>
      </c>
      <c r="M1464" s="12" t="s">
        <v>918</v>
      </c>
      <c r="N1464" s="26">
        <v>1</v>
      </c>
      <c r="O1464" s="57">
        <f>P1464/N1464</f>
        <v>0</v>
      </c>
      <c r="P1464" s="62">
        <f>2656095-2656095</f>
        <v>0</v>
      </c>
      <c r="Q1464" s="6" t="s">
        <v>395</v>
      </c>
      <c r="R1464" s="16" t="s">
        <v>1476</v>
      </c>
      <c r="S1464" s="38" t="s">
        <v>719</v>
      </c>
      <c r="T1464" s="26">
        <v>0</v>
      </c>
    </row>
    <row r="1465" spans="1:20" s="39" customFormat="1" ht="89.25">
      <c r="B1465" s="6">
        <v>1449</v>
      </c>
      <c r="C1465" s="16" t="s">
        <v>714</v>
      </c>
      <c r="D1465" s="38" t="s">
        <v>601</v>
      </c>
      <c r="E1465" s="12" t="s">
        <v>588</v>
      </c>
      <c r="F1465" s="70" t="s">
        <v>2081</v>
      </c>
      <c r="G1465" s="70" t="s">
        <v>589</v>
      </c>
      <c r="H1465" s="70" t="s">
        <v>2081</v>
      </c>
      <c r="I1465" s="70" t="s">
        <v>589</v>
      </c>
      <c r="J1465" s="70" t="s">
        <v>2080</v>
      </c>
      <c r="K1465" s="70" t="s">
        <v>93</v>
      </c>
      <c r="L1465" s="70" t="s">
        <v>595</v>
      </c>
      <c r="M1465" s="12" t="s">
        <v>918</v>
      </c>
      <c r="N1465" s="26">
        <v>1</v>
      </c>
      <c r="O1465" s="57">
        <f>P1465/N1465</f>
        <v>0</v>
      </c>
      <c r="P1465" s="62">
        <f>2036935-2036935</f>
        <v>0</v>
      </c>
      <c r="Q1465" s="6" t="s">
        <v>395</v>
      </c>
      <c r="R1465" s="6" t="s">
        <v>1476</v>
      </c>
      <c r="S1465" s="38">
        <v>551000000</v>
      </c>
      <c r="T1465" s="26">
        <v>0</v>
      </c>
    </row>
    <row r="1466" spans="1:20" ht="89.25" outlineLevel="1">
      <c r="B1466" s="6">
        <v>1450</v>
      </c>
      <c r="C1466" s="16" t="s">
        <v>945</v>
      </c>
      <c r="D1466" s="6" t="s">
        <v>601</v>
      </c>
      <c r="E1466" s="12" t="s">
        <v>588</v>
      </c>
      <c r="F1466" s="70" t="s">
        <v>2081</v>
      </c>
      <c r="G1466" s="70" t="s">
        <v>589</v>
      </c>
      <c r="H1466" s="70" t="s">
        <v>2081</v>
      </c>
      <c r="I1466" s="70" t="s">
        <v>589</v>
      </c>
      <c r="J1466" s="70" t="s">
        <v>2080</v>
      </c>
      <c r="K1466" s="70" t="s">
        <v>93</v>
      </c>
      <c r="L1466" s="70" t="s">
        <v>595</v>
      </c>
      <c r="M1466" s="12" t="s">
        <v>918</v>
      </c>
      <c r="N1466" s="26">
        <v>1</v>
      </c>
      <c r="O1466" s="57">
        <v>2979763</v>
      </c>
      <c r="P1466" s="62">
        <f t="shared" si="25"/>
        <v>2979763</v>
      </c>
      <c r="Q1466" s="6" t="s">
        <v>590</v>
      </c>
      <c r="R1466" s="16" t="s">
        <v>1476</v>
      </c>
      <c r="S1466" s="38">
        <v>591000000</v>
      </c>
      <c r="T1466" s="26">
        <v>0</v>
      </c>
    </row>
    <row r="1467" spans="1:20" ht="89.25" outlineLevel="1">
      <c r="B1467" s="6">
        <v>1451</v>
      </c>
      <c r="C1467" s="16" t="s">
        <v>714</v>
      </c>
      <c r="D1467" s="38" t="s">
        <v>601</v>
      </c>
      <c r="E1467" s="12" t="s">
        <v>588</v>
      </c>
      <c r="F1467" s="70" t="s">
        <v>2081</v>
      </c>
      <c r="G1467" s="70" t="s">
        <v>589</v>
      </c>
      <c r="H1467" s="70" t="s">
        <v>2081</v>
      </c>
      <c r="I1467" s="70" t="s">
        <v>589</v>
      </c>
      <c r="J1467" s="70" t="s">
        <v>2080</v>
      </c>
      <c r="K1467" s="70" t="s">
        <v>93</v>
      </c>
      <c r="L1467" s="70" t="s">
        <v>1489</v>
      </c>
      <c r="M1467" s="12" t="s">
        <v>918</v>
      </c>
      <c r="N1467" s="26">
        <v>1</v>
      </c>
      <c r="O1467" s="57">
        <f>P1467/N1467</f>
        <v>0</v>
      </c>
      <c r="P1467" s="62">
        <f>5652511-5652511</f>
        <v>0</v>
      </c>
      <c r="Q1467" s="6" t="s">
        <v>395</v>
      </c>
      <c r="R1467" s="6" t="s">
        <v>1476</v>
      </c>
      <c r="S1467" s="38" t="s">
        <v>2037</v>
      </c>
      <c r="T1467" s="6">
        <v>0</v>
      </c>
    </row>
    <row r="1468" spans="1:20" ht="51" outlineLevel="1">
      <c r="B1468" s="6">
        <v>1452</v>
      </c>
      <c r="C1468" s="36" t="s">
        <v>714</v>
      </c>
      <c r="D1468" s="43" t="s">
        <v>601</v>
      </c>
      <c r="E1468" s="16" t="s">
        <v>711</v>
      </c>
      <c r="F1468" s="70" t="s">
        <v>785</v>
      </c>
      <c r="G1468" s="70" t="s">
        <v>712</v>
      </c>
      <c r="H1468" s="70" t="s">
        <v>785</v>
      </c>
      <c r="I1468" s="70" t="s">
        <v>712</v>
      </c>
      <c r="J1468" s="70" t="s">
        <v>2065</v>
      </c>
      <c r="K1468" s="70" t="s">
        <v>128</v>
      </c>
      <c r="L1468" s="70" t="s">
        <v>595</v>
      </c>
      <c r="M1468" s="12" t="s">
        <v>918</v>
      </c>
      <c r="N1468" s="26">
        <v>1</v>
      </c>
      <c r="O1468" s="57">
        <f>P1468</f>
        <v>1714286</v>
      </c>
      <c r="P1468" s="62">
        <f>1440000+274286</f>
        <v>1714286</v>
      </c>
      <c r="Q1468" s="6" t="s">
        <v>397</v>
      </c>
      <c r="R1468" s="6" t="s">
        <v>770</v>
      </c>
      <c r="S1468" s="38" t="s">
        <v>2038</v>
      </c>
      <c r="T1468" s="26">
        <v>0</v>
      </c>
    </row>
    <row r="1469" spans="1:20" ht="51" outlineLevel="1">
      <c r="B1469" s="6">
        <v>1453</v>
      </c>
      <c r="C1469" s="16" t="s">
        <v>714</v>
      </c>
      <c r="D1469" s="38" t="s">
        <v>601</v>
      </c>
      <c r="E1469" s="16" t="s">
        <v>711</v>
      </c>
      <c r="F1469" s="70" t="s">
        <v>785</v>
      </c>
      <c r="G1469" s="70" t="s">
        <v>712</v>
      </c>
      <c r="H1469" s="70" t="s">
        <v>785</v>
      </c>
      <c r="I1469" s="70" t="s">
        <v>712</v>
      </c>
      <c r="J1469" s="70" t="s">
        <v>2065</v>
      </c>
      <c r="K1469" s="70" t="s">
        <v>128</v>
      </c>
      <c r="L1469" s="70" t="s">
        <v>595</v>
      </c>
      <c r="M1469" s="12" t="s">
        <v>918</v>
      </c>
      <c r="N1469" s="26">
        <v>1</v>
      </c>
      <c r="O1469" s="57">
        <f t="shared" ref="O1469:O1482" si="26">P1469</f>
        <v>1714286</v>
      </c>
      <c r="P1469" s="62">
        <f t="shared" ref="P1469:P1483" si="27">1440000+274286</f>
        <v>1714286</v>
      </c>
      <c r="Q1469" s="6" t="s">
        <v>397</v>
      </c>
      <c r="R1469" s="6" t="s">
        <v>770</v>
      </c>
      <c r="S1469" s="38" t="s">
        <v>1025</v>
      </c>
      <c r="T1469" s="6">
        <v>0</v>
      </c>
    </row>
    <row r="1470" spans="1:20" ht="51" outlineLevel="1">
      <c r="B1470" s="6">
        <v>1454</v>
      </c>
      <c r="C1470" s="16" t="s">
        <v>714</v>
      </c>
      <c r="D1470" s="38" t="s">
        <v>601</v>
      </c>
      <c r="E1470" s="16" t="s">
        <v>711</v>
      </c>
      <c r="F1470" s="70" t="s">
        <v>785</v>
      </c>
      <c r="G1470" s="70" t="s">
        <v>712</v>
      </c>
      <c r="H1470" s="70" t="s">
        <v>785</v>
      </c>
      <c r="I1470" s="70" t="s">
        <v>712</v>
      </c>
      <c r="J1470" s="70" t="s">
        <v>2065</v>
      </c>
      <c r="K1470" s="70" t="s">
        <v>128</v>
      </c>
      <c r="L1470" s="70" t="s">
        <v>595</v>
      </c>
      <c r="M1470" s="12" t="s">
        <v>918</v>
      </c>
      <c r="N1470" s="26">
        <v>1</v>
      </c>
      <c r="O1470" s="57">
        <f t="shared" si="26"/>
        <v>1714286</v>
      </c>
      <c r="P1470" s="62">
        <f t="shared" si="27"/>
        <v>1714286</v>
      </c>
      <c r="Q1470" s="6" t="s">
        <v>397</v>
      </c>
      <c r="R1470" s="6" t="s">
        <v>770</v>
      </c>
      <c r="S1470" s="38" t="s">
        <v>793</v>
      </c>
      <c r="T1470" s="6">
        <v>0</v>
      </c>
    </row>
    <row r="1471" spans="1:20" s="14" customFormat="1" ht="51">
      <c r="A1471" s="17"/>
      <c r="B1471" s="6">
        <v>1455</v>
      </c>
      <c r="C1471" s="16" t="s">
        <v>714</v>
      </c>
      <c r="D1471" s="38" t="s">
        <v>601</v>
      </c>
      <c r="E1471" s="16" t="s">
        <v>711</v>
      </c>
      <c r="F1471" s="70" t="s">
        <v>785</v>
      </c>
      <c r="G1471" s="70" t="s">
        <v>712</v>
      </c>
      <c r="H1471" s="70" t="s">
        <v>785</v>
      </c>
      <c r="I1471" s="70" t="s">
        <v>712</v>
      </c>
      <c r="J1471" s="70" t="s">
        <v>2065</v>
      </c>
      <c r="K1471" s="70" t="s">
        <v>128</v>
      </c>
      <c r="L1471" s="70" t="s">
        <v>595</v>
      </c>
      <c r="M1471" s="12" t="s">
        <v>918</v>
      </c>
      <c r="N1471" s="26">
        <v>1</v>
      </c>
      <c r="O1471" s="57">
        <f t="shared" si="26"/>
        <v>1714286</v>
      </c>
      <c r="P1471" s="62">
        <f t="shared" si="27"/>
        <v>1714286</v>
      </c>
      <c r="Q1471" s="6" t="s">
        <v>397</v>
      </c>
      <c r="R1471" s="6" t="s">
        <v>770</v>
      </c>
      <c r="S1471" s="38" t="s">
        <v>2031</v>
      </c>
      <c r="T1471" s="26">
        <v>0</v>
      </c>
    </row>
    <row r="1472" spans="1:20" ht="51" outlineLevel="1">
      <c r="B1472" s="6">
        <v>1456</v>
      </c>
      <c r="C1472" s="16" t="s">
        <v>714</v>
      </c>
      <c r="D1472" s="38" t="s">
        <v>601</v>
      </c>
      <c r="E1472" s="16" t="s">
        <v>711</v>
      </c>
      <c r="F1472" s="70" t="s">
        <v>785</v>
      </c>
      <c r="G1472" s="70" t="s">
        <v>712</v>
      </c>
      <c r="H1472" s="70" t="s">
        <v>785</v>
      </c>
      <c r="I1472" s="70" t="s">
        <v>712</v>
      </c>
      <c r="J1472" s="70" t="s">
        <v>2065</v>
      </c>
      <c r="K1472" s="70" t="s">
        <v>128</v>
      </c>
      <c r="L1472" s="70" t="s">
        <v>595</v>
      </c>
      <c r="M1472" s="12" t="s">
        <v>918</v>
      </c>
      <c r="N1472" s="26">
        <v>1</v>
      </c>
      <c r="O1472" s="57">
        <f t="shared" si="26"/>
        <v>1714286</v>
      </c>
      <c r="P1472" s="62">
        <f t="shared" si="27"/>
        <v>1714286</v>
      </c>
      <c r="Q1472" s="6" t="s">
        <v>397</v>
      </c>
      <c r="R1472" s="6" t="s">
        <v>770</v>
      </c>
      <c r="S1472" s="38" t="s">
        <v>637</v>
      </c>
      <c r="T1472" s="26">
        <v>0</v>
      </c>
    </row>
    <row r="1473" spans="1:20" ht="51" outlineLevel="1">
      <c r="B1473" s="6">
        <v>1457</v>
      </c>
      <c r="C1473" s="16" t="s">
        <v>714</v>
      </c>
      <c r="D1473" s="38" t="s">
        <v>601</v>
      </c>
      <c r="E1473" s="16" t="s">
        <v>711</v>
      </c>
      <c r="F1473" s="70" t="s">
        <v>785</v>
      </c>
      <c r="G1473" s="70" t="s">
        <v>712</v>
      </c>
      <c r="H1473" s="70" t="s">
        <v>785</v>
      </c>
      <c r="I1473" s="70" t="s">
        <v>712</v>
      </c>
      <c r="J1473" s="70" t="s">
        <v>2065</v>
      </c>
      <c r="K1473" s="70" t="s">
        <v>128</v>
      </c>
      <c r="L1473" s="70" t="s">
        <v>595</v>
      </c>
      <c r="M1473" s="12" t="s">
        <v>918</v>
      </c>
      <c r="N1473" s="26">
        <v>1</v>
      </c>
      <c r="O1473" s="57">
        <f t="shared" si="26"/>
        <v>1714286</v>
      </c>
      <c r="P1473" s="62">
        <f t="shared" si="27"/>
        <v>1714286</v>
      </c>
      <c r="Q1473" s="6" t="s">
        <v>397</v>
      </c>
      <c r="R1473" s="6" t="s">
        <v>770</v>
      </c>
      <c r="S1473" s="38">
        <v>311000000</v>
      </c>
      <c r="T1473" s="26">
        <v>0</v>
      </c>
    </row>
    <row r="1474" spans="1:20" ht="51" outlineLevel="1">
      <c r="B1474" s="6">
        <v>1458</v>
      </c>
      <c r="C1474" s="16" t="s">
        <v>714</v>
      </c>
      <c r="D1474" s="38" t="s">
        <v>601</v>
      </c>
      <c r="E1474" s="16" t="s">
        <v>711</v>
      </c>
      <c r="F1474" s="70" t="s">
        <v>785</v>
      </c>
      <c r="G1474" s="70" t="s">
        <v>712</v>
      </c>
      <c r="H1474" s="70" t="s">
        <v>785</v>
      </c>
      <c r="I1474" s="70" t="s">
        <v>712</v>
      </c>
      <c r="J1474" s="70" t="s">
        <v>2065</v>
      </c>
      <c r="K1474" s="70" t="s">
        <v>128</v>
      </c>
      <c r="L1474" s="70" t="s">
        <v>595</v>
      </c>
      <c r="M1474" s="12" t="s">
        <v>918</v>
      </c>
      <c r="N1474" s="26">
        <v>1</v>
      </c>
      <c r="O1474" s="57">
        <f t="shared" si="26"/>
        <v>1714286</v>
      </c>
      <c r="P1474" s="62">
        <f t="shared" si="27"/>
        <v>1714286</v>
      </c>
      <c r="Q1474" s="6" t="s">
        <v>397</v>
      </c>
      <c r="R1474" s="6" t="s">
        <v>770</v>
      </c>
      <c r="S1474" s="38" t="s">
        <v>2032</v>
      </c>
      <c r="T1474" s="6">
        <v>0</v>
      </c>
    </row>
    <row r="1475" spans="1:20" ht="51" outlineLevel="1">
      <c r="B1475" s="6">
        <v>1459</v>
      </c>
      <c r="C1475" s="16" t="s">
        <v>714</v>
      </c>
      <c r="D1475" s="38" t="s">
        <v>601</v>
      </c>
      <c r="E1475" s="16" t="s">
        <v>711</v>
      </c>
      <c r="F1475" s="70" t="s">
        <v>785</v>
      </c>
      <c r="G1475" s="70" t="s">
        <v>712</v>
      </c>
      <c r="H1475" s="70" t="s">
        <v>785</v>
      </c>
      <c r="I1475" s="70" t="s">
        <v>712</v>
      </c>
      <c r="J1475" s="70" t="s">
        <v>2065</v>
      </c>
      <c r="K1475" s="70" t="s">
        <v>128</v>
      </c>
      <c r="L1475" s="70" t="s">
        <v>595</v>
      </c>
      <c r="M1475" s="12" t="s">
        <v>918</v>
      </c>
      <c r="N1475" s="26">
        <v>1</v>
      </c>
      <c r="O1475" s="57">
        <f t="shared" si="26"/>
        <v>1714286</v>
      </c>
      <c r="P1475" s="62">
        <f t="shared" si="27"/>
        <v>1714286</v>
      </c>
      <c r="Q1475" s="6" t="s">
        <v>397</v>
      </c>
      <c r="R1475" s="6" t="s">
        <v>770</v>
      </c>
      <c r="S1475" s="38">
        <v>351000000</v>
      </c>
      <c r="T1475" s="26">
        <v>0</v>
      </c>
    </row>
    <row r="1476" spans="1:20" ht="51" outlineLevel="1">
      <c r="B1476" s="6">
        <v>1460</v>
      </c>
      <c r="C1476" s="16" t="s">
        <v>714</v>
      </c>
      <c r="D1476" s="38" t="s">
        <v>601</v>
      </c>
      <c r="E1476" s="16" t="s">
        <v>711</v>
      </c>
      <c r="F1476" s="70" t="s">
        <v>785</v>
      </c>
      <c r="G1476" s="70" t="s">
        <v>712</v>
      </c>
      <c r="H1476" s="70" t="s">
        <v>785</v>
      </c>
      <c r="I1476" s="70" t="s">
        <v>712</v>
      </c>
      <c r="J1476" s="70" t="s">
        <v>2065</v>
      </c>
      <c r="K1476" s="70" t="s">
        <v>128</v>
      </c>
      <c r="L1476" s="70" t="s">
        <v>595</v>
      </c>
      <c r="M1476" s="12" t="s">
        <v>918</v>
      </c>
      <c r="N1476" s="26">
        <v>1</v>
      </c>
      <c r="O1476" s="57">
        <f t="shared" si="26"/>
        <v>1714286</v>
      </c>
      <c r="P1476" s="62">
        <f t="shared" si="27"/>
        <v>1714286</v>
      </c>
      <c r="Q1476" s="6" t="s">
        <v>397</v>
      </c>
      <c r="R1476" s="6" t="s">
        <v>770</v>
      </c>
      <c r="S1476" s="38" t="s">
        <v>929</v>
      </c>
      <c r="T1476" s="26">
        <v>0</v>
      </c>
    </row>
    <row r="1477" spans="1:20" ht="51" outlineLevel="1">
      <c r="B1477" s="6">
        <v>1461</v>
      </c>
      <c r="C1477" s="16" t="s">
        <v>714</v>
      </c>
      <c r="D1477" s="38" t="s">
        <v>601</v>
      </c>
      <c r="E1477" s="16" t="s">
        <v>711</v>
      </c>
      <c r="F1477" s="70" t="s">
        <v>785</v>
      </c>
      <c r="G1477" s="70" t="s">
        <v>712</v>
      </c>
      <c r="H1477" s="70" t="s">
        <v>785</v>
      </c>
      <c r="I1477" s="70" t="s">
        <v>712</v>
      </c>
      <c r="J1477" s="70" t="s">
        <v>2065</v>
      </c>
      <c r="K1477" s="70" t="s">
        <v>128</v>
      </c>
      <c r="L1477" s="70" t="s">
        <v>595</v>
      </c>
      <c r="M1477" s="12" t="s">
        <v>918</v>
      </c>
      <c r="N1477" s="26">
        <v>1</v>
      </c>
      <c r="O1477" s="57">
        <f t="shared" si="26"/>
        <v>1714286</v>
      </c>
      <c r="P1477" s="62">
        <f t="shared" si="27"/>
        <v>1714286</v>
      </c>
      <c r="Q1477" s="6" t="s">
        <v>397</v>
      </c>
      <c r="R1477" s="6" t="s">
        <v>770</v>
      </c>
      <c r="S1477" s="38">
        <v>431000000</v>
      </c>
      <c r="T1477" s="26">
        <v>0</v>
      </c>
    </row>
    <row r="1478" spans="1:20" ht="51" outlineLevel="1">
      <c r="B1478" s="6">
        <v>1462</v>
      </c>
      <c r="C1478" s="36" t="s">
        <v>714</v>
      </c>
      <c r="D1478" s="43" t="s">
        <v>601</v>
      </c>
      <c r="E1478" s="16" t="s">
        <v>711</v>
      </c>
      <c r="F1478" s="70" t="s">
        <v>785</v>
      </c>
      <c r="G1478" s="70" t="s">
        <v>712</v>
      </c>
      <c r="H1478" s="70" t="s">
        <v>785</v>
      </c>
      <c r="I1478" s="70" t="s">
        <v>712</v>
      </c>
      <c r="J1478" s="70" t="s">
        <v>2065</v>
      </c>
      <c r="K1478" s="70" t="s">
        <v>128</v>
      </c>
      <c r="L1478" s="70" t="s">
        <v>595</v>
      </c>
      <c r="M1478" s="12" t="s">
        <v>918</v>
      </c>
      <c r="N1478" s="26">
        <v>1</v>
      </c>
      <c r="O1478" s="57">
        <f t="shared" si="26"/>
        <v>1714286</v>
      </c>
      <c r="P1478" s="62">
        <f t="shared" si="27"/>
        <v>1714286</v>
      </c>
      <c r="Q1478" s="6" t="s">
        <v>397</v>
      </c>
      <c r="R1478" s="6" t="s">
        <v>770</v>
      </c>
      <c r="S1478" s="38" t="s">
        <v>719</v>
      </c>
      <c r="T1478" s="26">
        <v>0</v>
      </c>
    </row>
    <row r="1479" spans="1:20" s="39" customFormat="1" ht="51">
      <c r="B1479" s="6">
        <v>1463</v>
      </c>
      <c r="C1479" s="16" t="s">
        <v>714</v>
      </c>
      <c r="D1479" s="38" t="s">
        <v>601</v>
      </c>
      <c r="E1479" s="16" t="s">
        <v>711</v>
      </c>
      <c r="F1479" s="70" t="s">
        <v>785</v>
      </c>
      <c r="G1479" s="70" t="s">
        <v>712</v>
      </c>
      <c r="H1479" s="70" t="s">
        <v>785</v>
      </c>
      <c r="I1479" s="70" t="s">
        <v>712</v>
      </c>
      <c r="J1479" s="70" t="s">
        <v>2065</v>
      </c>
      <c r="K1479" s="70" t="s">
        <v>128</v>
      </c>
      <c r="L1479" s="70" t="s">
        <v>595</v>
      </c>
      <c r="M1479" s="12" t="s">
        <v>918</v>
      </c>
      <c r="N1479" s="26">
        <v>1</v>
      </c>
      <c r="O1479" s="57">
        <f t="shared" si="26"/>
        <v>1714286</v>
      </c>
      <c r="P1479" s="62">
        <f t="shared" si="27"/>
        <v>1714286</v>
      </c>
      <c r="Q1479" s="6" t="s">
        <v>397</v>
      </c>
      <c r="R1479" s="6" t="s">
        <v>770</v>
      </c>
      <c r="S1479" s="38">
        <v>551000000</v>
      </c>
      <c r="T1479" s="26">
        <v>0</v>
      </c>
    </row>
    <row r="1480" spans="1:20" ht="51" outlineLevel="1">
      <c r="B1480" s="6">
        <v>1464</v>
      </c>
      <c r="C1480" s="16" t="s">
        <v>945</v>
      </c>
      <c r="D1480" s="6" t="s">
        <v>601</v>
      </c>
      <c r="E1480" s="16" t="s">
        <v>711</v>
      </c>
      <c r="F1480" s="70" t="s">
        <v>785</v>
      </c>
      <c r="G1480" s="70" t="s">
        <v>712</v>
      </c>
      <c r="H1480" s="70" t="s">
        <v>785</v>
      </c>
      <c r="I1480" s="70" t="s">
        <v>712</v>
      </c>
      <c r="J1480" s="70" t="s">
        <v>2065</v>
      </c>
      <c r="K1480" s="70" t="s">
        <v>128</v>
      </c>
      <c r="L1480" s="70" t="s">
        <v>595</v>
      </c>
      <c r="M1480" s="12" t="s">
        <v>918</v>
      </c>
      <c r="N1480" s="26">
        <v>1</v>
      </c>
      <c r="O1480" s="57">
        <f t="shared" si="26"/>
        <v>1714286</v>
      </c>
      <c r="P1480" s="62">
        <f t="shared" si="27"/>
        <v>1714286</v>
      </c>
      <c r="Q1480" s="6" t="s">
        <v>397</v>
      </c>
      <c r="R1480" s="6" t="s">
        <v>770</v>
      </c>
      <c r="S1480" s="38">
        <v>591000000</v>
      </c>
      <c r="T1480" s="26">
        <v>0</v>
      </c>
    </row>
    <row r="1481" spans="1:20" ht="51" outlineLevel="1">
      <c r="B1481" s="6">
        <v>1465</v>
      </c>
      <c r="C1481" s="16" t="s">
        <v>714</v>
      </c>
      <c r="D1481" s="38" t="s">
        <v>601</v>
      </c>
      <c r="E1481" s="16" t="s">
        <v>711</v>
      </c>
      <c r="F1481" s="70" t="s">
        <v>785</v>
      </c>
      <c r="G1481" s="70" t="s">
        <v>712</v>
      </c>
      <c r="H1481" s="70" t="s">
        <v>785</v>
      </c>
      <c r="I1481" s="70" t="s">
        <v>712</v>
      </c>
      <c r="J1481" s="70" t="s">
        <v>2065</v>
      </c>
      <c r="K1481" s="70" t="s">
        <v>128</v>
      </c>
      <c r="L1481" s="70" t="s">
        <v>595</v>
      </c>
      <c r="M1481" s="12" t="s">
        <v>918</v>
      </c>
      <c r="N1481" s="26">
        <v>1</v>
      </c>
      <c r="O1481" s="57">
        <f t="shared" si="26"/>
        <v>1714286</v>
      </c>
      <c r="P1481" s="62">
        <f t="shared" si="27"/>
        <v>1714286</v>
      </c>
      <c r="Q1481" s="6" t="s">
        <v>397</v>
      </c>
      <c r="R1481" s="6" t="s">
        <v>770</v>
      </c>
      <c r="S1481" s="38" t="s">
        <v>2037</v>
      </c>
      <c r="T1481" s="6">
        <v>0</v>
      </c>
    </row>
    <row r="1482" spans="1:20" ht="51" outlineLevel="1">
      <c r="B1482" s="6">
        <v>1466</v>
      </c>
      <c r="C1482" s="16" t="s">
        <v>714</v>
      </c>
      <c r="D1482" s="38" t="s">
        <v>601</v>
      </c>
      <c r="E1482" s="16" t="s">
        <v>711</v>
      </c>
      <c r="F1482" s="93" t="s">
        <v>785</v>
      </c>
      <c r="G1482" s="93" t="s">
        <v>712</v>
      </c>
      <c r="H1482" s="93" t="s">
        <v>785</v>
      </c>
      <c r="I1482" s="93" t="s">
        <v>712</v>
      </c>
      <c r="J1482" s="93" t="s">
        <v>2065</v>
      </c>
      <c r="K1482" s="93" t="s">
        <v>128</v>
      </c>
      <c r="L1482" s="93" t="s">
        <v>595</v>
      </c>
      <c r="M1482" s="12" t="s">
        <v>918</v>
      </c>
      <c r="N1482" s="26">
        <v>1</v>
      </c>
      <c r="O1482" s="57">
        <f t="shared" si="26"/>
        <v>2155714</v>
      </c>
      <c r="P1482" s="62">
        <f>1440000+274286+441428</f>
        <v>2155714</v>
      </c>
      <c r="Q1482" s="6" t="s">
        <v>397</v>
      </c>
      <c r="R1482" s="6" t="s">
        <v>770</v>
      </c>
      <c r="S1482" s="38" t="s">
        <v>2030</v>
      </c>
      <c r="T1482" s="26">
        <v>0</v>
      </c>
    </row>
    <row r="1483" spans="1:20" ht="51" outlineLevel="1">
      <c r="A1483" s="61"/>
      <c r="B1483" s="6">
        <v>1467</v>
      </c>
      <c r="C1483" s="16" t="s">
        <v>714</v>
      </c>
      <c r="D1483" s="38" t="s">
        <v>601</v>
      </c>
      <c r="E1483" s="16" t="s">
        <v>711</v>
      </c>
      <c r="F1483" s="70" t="s">
        <v>785</v>
      </c>
      <c r="G1483" s="70" t="s">
        <v>712</v>
      </c>
      <c r="H1483" s="70" t="s">
        <v>785</v>
      </c>
      <c r="I1483" s="70" t="s">
        <v>712</v>
      </c>
      <c r="J1483" s="70" t="s">
        <v>2065</v>
      </c>
      <c r="K1483" s="70" t="s">
        <v>128</v>
      </c>
      <c r="L1483" s="70" t="s">
        <v>595</v>
      </c>
      <c r="M1483" s="12" t="s">
        <v>918</v>
      </c>
      <c r="N1483" s="26">
        <v>1</v>
      </c>
      <c r="O1483" s="57">
        <f>P1483</f>
        <v>1714286</v>
      </c>
      <c r="P1483" s="62">
        <f t="shared" si="27"/>
        <v>1714286</v>
      </c>
      <c r="Q1483" s="6" t="s">
        <v>397</v>
      </c>
      <c r="R1483" s="6" t="s">
        <v>770</v>
      </c>
      <c r="S1483" s="38" t="s">
        <v>2035</v>
      </c>
      <c r="T1483" s="26">
        <v>0</v>
      </c>
    </row>
    <row r="1484" spans="1:20" ht="153" outlineLevel="1">
      <c r="B1484" s="6">
        <v>1468</v>
      </c>
      <c r="C1484" s="36" t="s">
        <v>714</v>
      </c>
      <c r="D1484" s="43" t="s">
        <v>601</v>
      </c>
      <c r="E1484" s="12" t="s">
        <v>926</v>
      </c>
      <c r="F1484" s="70" t="s">
        <v>2058</v>
      </c>
      <c r="G1484" s="70" t="s">
        <v>927</v>
      </c>
      <c r="H1484" s="70" t="s">
        <v>2059</v>
      </c>
      <c r="I1484" s="70" t="s">
        <v>928</v>
      </c>
      <c r="J1484" s="70" t="s">
        <v>2060</v>
      </c>
      <c r="K1484" s="70" t="s">
        <v>130</v>
      </c>
      <c r="L1484" s="70" t="s">
        <v>595</v>
      </c>
      <c r="M1484" s="12" t="s">
        <v>918</v>
      </c>
      <c r="N1484" s="26">
        <v>1</v>
      </c>
      <c r="O1484" s="57">
        <v>840000</v>
      </c>
      <c r="P1484" s="62">
        <f t="shared" ref="P1484:P1532" si="28">N1484*O1484</f>
        <v>840000</v>
      </c>
      <c r="Q1484" s="6" t="s">
        <v>397</v>
      </c>
      <c r="R1484" s="6" t="s">
        <v>770</v>
      </c>
      <c r="S1484" s="38" t="s">
        <v>2038</v>
      </c>
      <c r="T1484" s="26">
        <v>0</v>
      </c>
    </row>
    <row r="1485" spans="1:20" ht="153" outlineLevel="1">
      <c r="B1485" s="6">
        <v>1469</v>
      </c>
      <c r="C1485" s="16" t="s">
        <v>714</v>
      </c>
      <c r="D1485" s="38" t="s">
        <v>601</v>
      </c>
      <c r="E1485" s="12" t="s">
        <v>926</v>
      </c>
      <c r="F1485" s="70" t="s">
        <v>2058</v>
      </c>
      <c r="G1485" s="70" t="s">
        <v>927</v>
      </c>
      <c r="H1485" s="70" t="s">
        <v>2059</v>
      </c>
      <c r="I1485" s="70" t="s">
        <v>928</v>
      </c>
      <c r="J1485" s="70" t="s">
        <v>2060</v>
      </c>
      <c r="K1485" s="70" t="s">
        <v>130</v>
      </c>
      <c r="L1485" s="70" t="s">
        <v>595</v>
      </c>
      <c r="M1485" s="12" t="s">
        <v>918</v>
      </c>
      <c r="N1485" s="26">
        <v>1</v>
      </c>
      <c r="O1485" s="57">
        <v>840000</v>
      </c>
      <c r="P1485" s="62">
        <f t="shared" si="28"/>
        <v>840000</v>
      </c>
      <c r="Q1485" s="6" t="s">
        <v>397</v>
      </c>
      <c r="R1485" s="6" t="s">
        <v>770</v>
      </c>
      <c r="S1485" s="38" t="s">
        <v>1025</v>
      </c>
      <c r="T1485" s="6">
        <v>0</v>
      </c>
    </row>
    <row r="1486" spans="1:20" ht="153" outlineLevel="1">
      <c r="B1486" s="6">
        <v>1470</v>
      </c>
      <c r="C1486" s="16" t="s">
        <v>714</v>
      </c>
      <c r="D1486" s="38" t="s">
        <v>601</v>
      </c>
      <c r="E1486" s="12" t="s">
        <v>926</v>
      </c>
      <c r="F1486" s="70" t="s">
        <v>2058</v>
      </c>
      <c r="G1486" s="70" t="s">
        <v>927</v>
      </c>
      <c r="H1486" s="70" t="s">
        <v>2059</v>
      </c>
      <c r="I1486" s="70" t="s">
        <v>928</v>
      </c>
      <c r="J1486" s="70" t="s">
        <v>2060</v>
      </c>
      <c r="K1486" s="70" t="s">
        <v>130</v>
      </c>
      <c r="L1486" s="70" t="s">
        <v>595</v>
      </c>
      <c r="M1486" s="12" t="s">
        <v>918</v>
      </c>
      <c r="N1486" s="26">
        <v>1</v>
      </c>
      <c r="O1486" s="57">
        <v>840000</v>
      </c>
      <c r="P1486" s="62">
        <f t="shared" si="28"/>
        <v>840000</v>
      </c>
      <c r="Q1486" s="6" t="s">
        <v>397</v>
      </c>
      <c r="R1486" s="6" t="s">
        <v>770</v>
      </c>
      <c r="S1486" s="38" t="s">
        <v>793</v>
      </c>
      <c r="T1486" s="6">
        <v>0</v>
      </c>
    </row>
    <row r="1487" spans="1:20" s="14" customFormat="1" ht="153">
      <c r="A1487" s="17"/>
      <c r="B1487" s="6">
        <v>1471</v>
      </c>
      <c r="C1487" s="16" t="s">
        <v>714</v>
      </c>
      <c r="D1487" s="38" t="s">
        <v>601</v>
      </c>
      <c r="E1487" s="12" t="s">
        <v>926</v>
      </c>
      <c r="F1487" s="70" t="s">
        <v>2058</v>
      </c>
      <c r="G1487" s="70" t="s">
        <v>927</v>
      </c>
      <c r="H1487" s="70" t="s">
        <v>2059</v>
      </c>
      <c r="I1487" s="70" t="s">
        <v>928</v>
      </c>
      <c r="J1487" s="70" t="s">
        <v>2060</v>
      </c>
      <c r="K1487" s="70" t="s">
        <v>130</v>
      </c>
      <c r="L1487" s="70" t="s">
        <v>595</v>
      </c>
      <c r="M1487" s="12" t="s">
        <v>918</v>
      </c>
      <c r="N1487" s="26">
        <v>1</v>
      </c>
      <c r="O1487" s="57">
        <v>840000</v>
      </c>
      <c r="P1487" s="62">
        <f t="shared" si="28"/>
        <v>840000</v>
      </c>
      <c r="Q1487" s="6" t="s">
        <v>397</v>
      </c>
      <c r="R1487" s="6" t="s">
        <v>770</v>
      </c>
      <c r="S1487" s="38" t="s">
        <v>2031</v>
      </c>
      <c r="T1487" s="26">
        <v>100</v>
      </c>
    </row>
    <row r="1488" spans="1:20" ht="153">
      <c r="B1488" s="6">
        <v>1472</v>
      </c>
      <c r="C1488" s="16" t="s">
        <v>714</v>
      </c>
      <c r="D1488" s="38" t="s">
        <v>601</v>
      </c>
      <c r="E1488" s="12" t="s">
        <v>926</v>
      </c>
      <c r="F1488" s="70" t="s">
        <v>2058</v>
      </c>
      <c r="G1488" s="70" t="s">
        <v>927</v>
      </c>
      <c r="H1488" s="70" t="s">
        <v>2059</v>
      </c>
      <c r="I1488" s="70" t="s">
        <v>928</v>
      </c>
      <c r="J1488" s="70" t="s">
        <v>2060</v>
      </c>
      <c r="K1488" s="70" t="s">
        <v>130</v>
      </c>
      <c r="L1488" s="70" t="s">
        <v>595</v>
      </c>
      <c r="M1488" s="12" t="s">
        <v>918</v>
      </c>
      <c r="N1488" s="26">
        <v>1</v>
      </c>
      <c r="O1488" s="57">
        <v>840000</v>
      </c>
      <c r="P1488" s="62">
        <f t="shared" si="28"/>
        <v>840000</v>
      </c>
      <c r="Q1488" s="6" t="s">
        <v>397</v>
      </c>
      <c r="R1488" s="16" t="s">
        <v>1476</v>
      </c>
      <c r="S1488" s="38" t="s">
        <v>637</v>
      </c>
      <c r="T1488" s="26">
        <v>0</v>
      </c>
    </row>
    <row r="1489" spans="1:20" s="42" customFormat="1" ht="153">
      <c r="A1489" s="41"/>
      <c r="B1489" s="6">
        <v>1473</v>
      </c>
      <c r="C1489" s="16" t="s">
        <v>714</v>
      </c>
      <c r="D1489" s="38" t="s">
        <v>601</v>
      </c>
      <c r="E1489" s="12" t="s">
        <v>926</v>
      </c>
      <c r="F1489" s="70" t="s">
        <v>2058</v>
      </c>
      <c r="G1489" s="70" t="s">
        <v>927</v>
      </c>
      <c r="H1489" s="70" t="s">
        <v>2059</v>
      </c>
      <c r="I1489" s="70" t="s">
        <v>928</v>
      </c>
      <c r="J1489" s="70" t="s">
        <v>2060</v>
      </c>
      <c r="K1489" s="70" t="s">
        <v>130</v>
      </c>
      <c r="L1489" s="70" t="s">
        <v>595</v>
      </c>
      <c r="M1489" s="12" t="s">
        <v>918</v>
      </c>
      <c r="N1489" s="26">
        <v>1</v>
      </c>
      <c r="O1489" s="57">
        <v>840000</v>
      </c>
      <c r="P1489" s="62">
        <f t="shared" si="28"/>
        <v>840000</v>
      </c>
      <c r="Q1489" s="6" t="s">
        <v>397</v>
      </c>
      <c r="R1489" s="6" t="s">
        <v>770</v>
      </c>
      <c r="S1489" s="38">
        <v>311000000</v>
      </c>
      <c r="T1489" s="26">
        <v>0</v>
      </c>
    </row>
    <row r="1490" spans="1:20" s="45" customFormat="1" ht="153">
      <c r="A1490" s="44"/>
      <c r="B1490" s="6">
        <v>1474</v>
      </c>
      <c r="C1490" s="16" t="s">
        <v>714</v>
      </c>
      <c r="D1490" s="38" t="s">
        <v>601</v>
      </c>
      <c r="E1490" s="12" t="s">
        <v>926</v>
      </c>
      <c r="F1490" s="70" t="s">
        <v>2058</v>
      </c>
      <c r="G1490" s="70" t="s">
        <v>927</v>
      </c>
      <c r="H1490" s="70" t="s">
        <v>2059</v>
      </c>
      <c r="I1490" s="70" t="s">
        <v>928</v>
      </c>
      <c r="J1490" s="70" t="s">
        <v>2060</v>
      </c>
      <c r="K1490" s="70" t="s">
        <v>130</v>
      </c>
      <c r="L1490" s="70" t="s">
        <v>595</v>
      </c>
      <c r="M1490" s="12" t="s">
        <v>918</v>
      </c>
      <c r="N1490" s="26">
        <v>1</v>
      </c>
      <c r="O1490" s="57">
        <v>840000</v>
      </c>
      <c r="P1490" s="62">
        <f t="shared" si="28"/>
        <v>840000</v>
      </c>
      <c r="Q1490" s="6" t="s">
        <v>397</v>
      </c>
      <c r="R1490" s="6" t="s">
        <v>770</v>
      </c>
      <c r="S1490" s="38" t="s">
        <v>2032</v>
      </c>
      <c r="T1490" s="26">
        <v>0</v>
      </c>
    </row>
    <row r="1491" spans="1:20" s="14" customFormat="1" ht="153">
      <c r="A1491" s="2"/>
      <c r="B1491" s="6">
        <v>1475</v>
      </c>
      <c r="C1491" s="16" t="s">
        <v>714</v>
      </c>
      <c r="D1491" s="38" t="s">
        <v>601</v>
      </c>
      <c r="E1491" s="12" t="s">
        <v>926</v>
      </c>
      <c r="F1491" s="70" t="s">
        <v>2058</v>
      </c>
      <c r="G1491" s="70" t="s">
        <v>927</v>
      </c>
      <c r="H1491" s="70" t="s">
        <v>2059</v>
      </c>
      <c r="I1491" s="70" t="s">
        <v>928</v>
      </c>
      <c r="J1491" s="70" t="s">
        <v>2060</v>
      </c>
      <c r="K1491" s="70" t="s">
        <v>130</v>
      </c>
      <c r="L1491" s="70" t="s">
        <v>595</v>
      </c>
      <c r="M1491" s="12" t="s">
        <v>918</v>
      </c>
      <c r="N1491" s="26">
        <v>1</v>
      </c>
      <c r="O1491" s="57">
        <v>840000</v>
      </c>
      <c r="P1491" s="62">
        <f t="shared" si="28"/>
        <v>840000</v>
      </c>
      <c r="Q1491" s="6" t="s">
        <v>397</v>
      </c>
      <c r="R1491" s="16" t="s">
        <v>1476</v>
      </c>
      <c r="S1491" s="38">
        <v>351000000</v>
      </c>
      <c r="T1491" s="26">
        <v>0</v>
      </c>
    </row>
    <row r="1492" spans="1:20" ht="153">
      <c r="B1492" s="6">
        <v>1476</v>
      </c>
      <c r="C1492" s="16" t="s">
        <v>714</v>
      </c>
      <c r="D1492" s="38" t="s">
        <v>601</v>
      </c>
      <c r="E1492" s="12" t="s">
        <v>926</v>
      </c>
      <c r="F1492" s="70" t="s">
        <v>2058</v>
      </c>
      <c r="G1492" s="70" t="s">
        <v>927</v>
      </c>
      <c r="H1492" s="70" t="s">
        <v>2059</v>
      </c>
      <c r="I1492" s="70" t="s">
        <v>928</v>
      </c>
      <c r="J1492" s="70" t="s">
        <v>2060</v>
      </c>
      <c r="K1492" s="70" t="s">
        <v>130</v>
      </c>
      <c r="L1492" s="70" t="s">
        <v>595</v>
      </c>
      <c r="M1492" s="12" t="s">
        <v>918</v>
      </c>
      <c r="N1492" s="26">
        <v>1</v>
      </c>
      <c r="O1492" s="57">
        <v>840000</v>
      </c>
      <c r="P1492" s="62">
        <f t="shared" si="28"/>
        <v>840000</v>
      </c>
      <c r="Q1492" s="6" t="s">
        <v>397</v>
      </c>
      <c r="R1492" s="6" t="s">
        <v>770</v>
      </c>
      <c r="S1492" s="38" t="s">
        <v>929</v>
      </c>
      <c r="T1492" s="26">
        <v>0</v>
      </c>
    </row>
    <row r="1493" spans="1:20" s="14" customFormat="1" ht="153">
      <c r="A1493" s="2"/>
      <c r="B1493" s="6">
        <v>1477</v>
      </c>
      <c r="C1493" s="16" t="s">
        <v>714</v>
      </c>
      <c r="D1493" s="38" t="s">
        <v>601</v>
      </c>
      <c r="E1493" s="12" t="s">
        <v>926</v>
      </c>
      <c r="F1493" s="70" t="s">
        <v>2058</v>
      </c>
      <c r="G1493" s="70" t="s">
        <v>927</v>
      </c>
      <c r="H1493" s="70" t="s">
        <v>2059</v>
      </c>
      <c r="I1493" s="70" t="s">
        <v>928</v>
      </c>
      <c r="J1493" s="70" t="s">
        <v>2060</v>
      </c>
      <c r="K1493" s="70" t="s">
        <v>130</v>
      </c>
      <c r="L1493" s="70" t="s">
        <v>595</v>
      </c>
      <c r="M1493" s="12" t="s">
        <v>918</v>
      </c>
      <c r="N1493" s="26">
        <v>1</v>
      </c>
      <c r="O1493" s="57">
        <v>840000</v>
      </c>
      <c r="P1493" s="62">
        <f t="shared" si="28"/>
        <v>840000</v>
      </c>
      <c r="Q1493" s="6" t="s">
        <v>397</v>
      </c>
      <c r="R1493" s="6" t="s">
        <v>770</v>
      </c>
      <c r="S1493" s="38">
        <v>431000000</v>
      </c>
      <c r="T1493" s="26">
        <v>0</v>
      </c>
    </row>
    <row r="1494" spans="1:20" ht="84.75" customHeight="1">
      <c r="B1494" s="6">
        <v>1478</v>
      </c>
      <c r="C1494" s="36" t="s">
        <v>714</v>
      </c>
      <c r="D1494" s="6" t="s">
        <v>601</v>
      </c>
      <c r="E1494" s="12" t="s">
        <v>926</v>
      </c>
      <c r="F1494" s="70" t="s">
        <v>2058</v>
      </c>
      <c r="G1494" s="70" t="s">
        <v>927</v>
      </c>
      <c r="H1494" s="70" t="s">
        <v>2059</v>
      </c>
      <c r="I1494" s="70" t="s">
        <v>928</v>
      </c>
      <c r="J1494" s="70" t="s">
        <v>2060</v>
      </c>
      <c r="K1494" s="70" t="s">
        <v>130</v>
      </c>
      <c r="L1494" s="70" t="s">
        <v>595</v>
      </c>
      <c r="M1494" s="12" t="s">
        <v>918</v>
      </c>
      <c r="N1494" s="26">
        <v>1</v>
      </c>
      <c r="O1494" s="57">
        <v>840000</v>
      </c>
      <c r="P1494" s="62">
        <f t="shared" si="28"/>
        <v>840000</v>
      </c>
      <c r="Q1494" s="6" t="s">
        <v>397</v>
      </c>
      <c r="R1494" s="6" t="s">
        <v>770</v>
      </c>
      <c r="S1494" s="38" t="s">
        <v>719</v>
      </c>
      <c r="T1494" s="26">
        <v>0</v>
      </c>
    </row>
    <row r="1495" spans="1:20" s="39" customFormat="1" ht="63.75" customHeight="1">
      <c r="B1495" s="6">
        <v>1479</v>
      </c>
      <c r="C1495" s="16" t="s">
        <v>714</v>
      </c>
      <c r="D1495" s="38" t="s">
        <v>601</v>
      </c>
      <c r="E1495" s="12" t="s">
        <v>926</v>
      </c>
      <c r="F1495" s="70" t="s">
        <v>2058</v>
      </c>
      <c r="G1495" s="70" t="s">
        <v>927</v>
      </c>
      <c r="H1495" s="70" t="s">
        <v>2059</v>
      </c>
      <c r="I1495" s="70" t="s">
        <v>928</v>
      </c>
      <c r="J1495" s="70" t="s">
        <v>2060</v>
      </c>
      <c r="K1495" s="70" t="s">
        <v>130</v>
      </c>
      <c r="L1495" s="70" t="s">
        <v>595</v>
      </c>
      <c r="M1495" s="12" t="s">
        <v>918</v>
      </c>
      <c r="N1495" s="26">
        <v>1</v>
      </c>
      <c r="O1495" s="57">
        <v>840000</v>
      </c>
      <c r="P1495" s="62">
        <f t="shared" si="28"/>
        <v>840000</v>
      </c>
      <c r="Q1495" s="6" t="s">
        <v>397</v>
      </c>
      <c r="R1495" s="6" t="s">
        <v>770</v>
      </c>
      <c r="S1495" s="38">
        <v>551000000</v>
      </c>
      <c r="T1495" s="26">
        <v>0</v>
      </c>
    </row>
    <row r="1496" spans="1:20" s="14" customFormat="1" ht="153">
      <c r="A1496" s="2"/>
      <c r="B1496" s="6">
        <v>1480</v>
      </c>
      <c r="C1496" s="16" t="s">
        <v>945</v>
      </c>
      <c r="D1496" s="6" t="s">
        <v>601</v>
      </c>
      <c r="E1496" s="12" t="s">
        <v>926</v>
      </c>
      <c r="F1496" s="70" t="s">
        <v>2058</v>
      </c>
      <c r="G1496" s="70" t="s">
        <v>927</v>
      </c>
      <c r="H1496" s="70" t="s">
        <v>2059</v>
      </c>
      <c r="I1496" s="70" t="s">
        <v>928</v>
      </c>
      <c r="J1496" s="70" t="s">
        <v>2060</v>
      </c>
      <c r="K1496" s="70" t="s">
        <v>130</v>
      </c>
      <c r="L1496" s="70" t="s">
        <v>595</v>
      </c>
      <c r="M1496" s="12" t="s">
        <v>918</v>
      </c>
      <c r="N1496" s="26">
        <v>1</v>
      </c>
      <c r="O1496" s="57">
        <v>840000</v>
      </c>
      <c r="P1496" s="62">
        <f t="shared" si="28"/>
        <v>840000</v>
      </c>
      <c r="Q1496" s="6" t="s">
        <v>397</v>
      </c>
      <c r="R1496" s="6" t="s">
        <v>770</v>
      </c>
      <c r="S1496" s="38">
        <v>591000000</v>
      </c>
      <c r="T1496" s="26">
        <v>0</v>
      </c>
    </row>
    <row r="1497" spans="1:20" s="14" customFormat="1" ht="153">
      <c r="A1497" s="2"/>
      <c r="B1497" s="6">
        <v>1481</v>
      </c>
      <c r="C1497" s="16" t="s">
        <v>714</v>
      </c>
      <c r="D1497" s="38" t="s">
        <v>601</v>
      </c>
      <c r="E1497" s="12" t="s">
        <v>926</v>
      </c>
      <c r="F1497" s="70" t="s">
        <v>2058</v>
      </c>
      <c r="G1497" s="70" t="s">
        <v>927</v>
      </c>
      <c r="H1497" s="70" t="s">
        <v>2059</v>
      </c>
      <c r="I1497" s="70" t="s">
        <v>928</v>
      </c>
      <c r="J1497" s="70" t="s">
        <v>2060</v>
      </c>
      <c r="K1497" s="70" t="s">
        <v>130</v>
      </c>
      <c r="L1497" s="70" t="s">
        <v>595</v>
      </c>
      <c r="M1497" s="12" t="s">
        <v>918</v>
      </c>
      <c r="N1497" s="26">
        <v>1</v>
      </c>
      <c r="O1497" s="57">
        <v>840000</v>
      </c>
      <c r="P1497" s="62">
        <f t="shared" si="28"/>
        <v>840000</v>
      </c>
      <c r="Q1497" s="6" t="s">
        <v>397</v>
      </c>
      <c r="R1497" s="6" t="s">
        <v>2397</v>
      </c>
      <c r="S1497" s="38" t="s">
        <v>2037</v>
      </c>
      <c r="T1497" s="6">
        <v>0</v>
      </c>
    </row>
    <row r="1498" spans="1:20" s="14" customFormat="1" ht="153">
      <c r="A1498" s="2"/>
      <c r="B1498" s="6">
        <v>1482</v>
      </c>
      <c r="C1498" s="16" t="s">
        <v>714</v>
      </c>
      <c r="D1498" s="38" t="s">
        <v>601</v>
      </c>
      <c r="E1498" s="12" t="s">
        <v>926</v>
      </c>
      <c r="F1498" s="70" t="s">
        <v>2058</v>
      </c>
      <c r="G1498" s="70" t="s">
        <v>927</v>
      </c>
      <c r="H1498" s="70" t="s">
        <v>2059</v>
      </c>
      <c r="I1498" s="70" t="s">
        <v>928</v>
      </c>
      <c r="J1498" s="70" t="s">
        <v>2060</v>
      </c>
      <c r="K1498" s="70" t="s">
        <v>130</v>
      </c>
      <c r="L1498" s="70" t="s">
        <v>595</v>
      </c>
      <c r="M1498" s="12" t="s">
        <v>918</v>
      </c>
      <c r="N1498" s="26">
        <v>1</v>
      </c>
      <c r="O1498" s="57">
        <v>840000</v>
      </c>
      <c r="P1498" s="62">
        <f t="shared" si="28"/>
        <v>840000</v>
      </c>
      <c r="Q1498" s="6" t="s">
        <v>395</v>
      </c>
      <c r="R1498" s="6" t="s">
        <v>770</v>
      </c>
      <c r="S1498" s="38" t="s">
        <v>2030</v>
      </c>
      <c r="T1498" s="26">
        <v>0</v>
      </c>
    </row>
    <row r="1499" spans="1:20" ht="153">
      <c r="B1499" s="6">
        <v>1483</v>
      </c>
      <c r="C1499" s="16" t="s">
        <v>714</v>
      </c>
      <c r="D1499" s="38" t="s">
        <v>601</v>
      </c>
      <c r="E1499" s="12" t="s">
        <v>926</v>
      </c>
      <c r="F1499" s="70" t="s">
        <v>2058</v>
      </c>
      <c r="G1499" s="70" t="s">
        <v>927</v>
      </c>
      <c r="H1499" s="70" t="s">
        <v>2059</v>
      </c>
      <c r="I1499" s="70" t="s">
        <v>928</v>
      </c>
      <c r="J1499" s="70" t="s">
        <v>2060</v>
      </c>
      <c r="K1499" s="70" t="s">
        <v>130</v>
      </c>
      <c r="L1499" s="70" t="s">
        <v>595</v>
      </c>
      <c r="M1499" s="12" t="s">
        <v>918</v>
      </c>
      <c r="N1499" s="26">
        <v>1</v>
      </c>
      <c r="O1499" s="57">
        <v>840000</v>
      </c>
      <c r="P1499" s="62">
        <f t="shared" si="28"/>
        <v>840000</v>
      </c>
      <c r="Q1499" s="6" t="s">
        <v>397</v>
      </c>
      <c r="R1499" s="16" t="s">
        <v>1476</v>
      </c>
      <c r="S1499" s="38" t="s">
        <v>698</v>
      </c>
      <c r="T1499" s="26">
        <v>0</v>
      </c>
    </row>
    <row r="1500" spans="1:20" s="14" customFormat="1" ht="76.5" collapsed="1">
      <c r="A1500" s="2"/>
      <c r="B1500" s="6">
        <v>1484</v>
      </c>
      <c r="C1500" s="16" t="s">
        <v>714</v>
      </c>
      <c r="D1500" s="38" t="s">
        <v>601</v>
      </c>
      <c r="E1500" s="38" t="s">
        <v>1304</v>
      </c>
      <c r="F1500" s="70" t="s">
        <v>1938</v>
      </c>
      <c r="G1500" s="70" t="s">
        <v>1305</v>
      </c>
      <c r="H1500" s="70" t="s">
        <v>1939</v>
      </c>
      <c r="I1500" s="70" t="s">
        <v>1306</v>
      </c>
      <c r="J1500" s="70" t="s">
        <v>1940</v>
      </c>
      <c r="K1500" s="70" t="s">
        <v>86</v>
      </c>
      <c r="L1500" s="70" t="s">
        <v>1490</v>
      </c>
      <c r="M1500" s="12" t="s">
        <v>918</v>
      </c>
      <c r="N1500" s="26">
        <v>1</v>
      </c>
      <c r="O1500" s="57">
        <v>16071429</v>
      </c>
      <c r="P1500" s="62">
        <f t="shared" si="28"/>
        <v>16071429</v>
      </c>
      <c r="Q1500" s="6" t="s">
        <v>702</v>
      </c>
      <c r="R1500" s="6" t="s">
        <v>1480</v>
      </c>
      <c r="S1500" s="38" t="s">
        <v>1179</v>
      </c>
      <c r="T1500" s="6">
        <v>0</v>
      </c>
    </row>
    <row r="1501" spans="1:20" ht="63.75">
      <c r="B1501" s="6">
        <v>1485</v>
      </c>
      <c r="C1501" s="16" t="s">
        <v>714</v>
      </c>
      <c r="D1501" s="38" t="s">
        <v>601</v>
      </c>
      <c r="E1501" s="6" t="s">
        <v>1435</v>
      </c>
      <c r="F1501" s="70" t="s">
        <v>1955</v>
      </c>
      <c r="G1501" s="70" t="s">
        <v>1956</v>
      </c>
      <c r="H1501" s="70" t="s">
        <v>1955</v>
      </c>
      <c r="I1501" s="70" t="s">
        <v>1956</v>
      </c>
      <c r="J1501" s="70" t="s">
        <v>1941</v>
      </c>
      <c r="K1501" s="70" t="s">
        <v>292</v>
      </c>
      <c r="L1501" s="70" t="s">
        <v>1489</v>
      </c>
      <c r="M1501" s="12" t="s">
        <v>918</v>
      </c>
      <c r="N1501" s="26">
        <v>1</v>
      </c>
      <c r="O1501" s="57">
        <f>P1501/N1501</f>
        <v>0</v>
      </c>
      <c r="P1501" s="62">
        <f>6555000-2055000-4500000</f>
        <v>0</v>
      </c>
      <c r="Q1501" s="6" t="s">
        <v>616</v>
      </c>
      <c r="R1501" s="16" t="s">
        <v>770</v>
      </c>
      <c r="S1501" s="38" t="s">
        <v>1179</v>
      </c>
      <c r="T1501" s="26">
        <v>30</v>
      </c>
    </row>
    <row r="1502" spans="1:20" ht="102">
      <c r="B1502" s="6">
        <v>1486</v>
      </c>
      <c r="C1502" s="16" t="s">
        <v>714</v>
      </c>
      <c r="D1502" s="38" t="s">
        <v>601</v>
      </c>
      <c r="E1502" s="6" t="s">
        <v>970</v>
      </c>
      <c r="F1502" s="70" t="s">
        <v>1961</v>
      </c>
      <c r="G1502" s="70" t="s">
        <v>920</v>
      </c>
      <c r="H1502" s="70" t="s">
        <v>2772</v>
      </c>
      <c r="I1502" s="70" t="s">
        <v>1503</v>
      </c>
      <c r="J1502" s="70" t="s">
        <v>2774</v>
      </c>
      <c r="K1502" s="70" t="s">
        <v>2773</v>
      </c>
      <c r="L1502" s="70" t="s">
        <v>595</v>
      </c>
      <c r="M1502" s="12" t="s">
        <v>918</v>
      </c>
      <c r="N1502" s="26">
        <v>1</v>
      </c>
      <c r="O1502" s="57">
        <f>P1502/N1502</f>
        <v>3303571</v>
      </c>
      <c r="P1502" s="62">
        <f>2678571+625000</f>
        <v>3303571</v>
      </c>
      <c r="Q1502" s="6" t="s">
        <v>505</v>
      </c>
      <c r="R1502" s="16" t="s">
        <v>770</v>
      </c>
      <c r="S1502" s="38" t="s">
        <v>1179</v>
      </c>
      <c r="T1502" s="26">
        <v>30</v>
      </c>
    </row>
    <row r="1503" spans="1:20" s="1" customFormat="1" ht="102">
      <c r="A1503" s="3"/>
      <c r="B1503" s="6">
        <v>1487</v>
      </c>
      <c r="C1503" s="16" t="s">
        <v>714</v>
      </c>
      <c r="D1503" s="38" t="s">
        <v>601</v>
      </c>
      <c r="E1503" s="6" t="s">
        <v>1426</v>
      </c>
      <c r="F1503" s="70" t="s">
        <v>1946</v>
      </c>
      <c r="G1503" s="70" t="s">
        <v>1427</v>
      </c>
      <c r="H1503" s="70" t="s">
        <v>1945</v>
      </c>
      <c r="I1503" s="70" t="s">
        <v>1428</v>
      </c>
      <c r="J1503" s="70" t="s">
        <v>1944</v>
      </c>
      <c r="K1503" s="70" t="s">
        <v>293</v>
      </c>
      <c r="L1503" s="70" t="s">
        <v>595</v>
      </c>
      <c r="M1503" s="12" t="s">
        <v>918</v>
      </c>
      <c r="N1503" s="26">
        <v>1</v>
      </c>
      <c r="O1503" s="57">
        <f>P1503/N1503</f>
        <v>1000000</v>
      </c>
      <c r="P1503" s="62">
        <f>1300000-300000</f>
        <v>1000000</v>
      </c>
      <c r="Q1503" s="6" t="s">
        <v>505</v>
      </c>
      <c r="R1503" s="6" t="s">
        <v>770</v>
      </c>
      <c r="S1503" s="38" t="s">
        <v>1179</v>
      </c>
      <c r="T1503" s="6">
        <v>30</v>
      </c>
    </row>
    <row r="1504" spans="1:20" s="1" customFormat="1" ht="89.25">
      <c r="A1504" s="3"/>
      <c r="B1504" s="6">
        <v>1488</v>
      </c>
      <c r="C1504" s="16" t="s">
        <v>714</v>
      </c>
      <c r="D1504" s="38" t="s">
        <v>601</v>
      </c>
      <c r="E1504" s="6" t="s">
        <v>1429</v>
      </c>
      <c r="F1504" s="70" t="s">
        <v>1947</v>
      </c>
      <c r="G1504" s="70" t="s">
        <v>1430</v>
      </c>
      <c r="H1504" s="70" t="s">
        <v>1947</v>
      </c>
      <c r="I1504" s="70" t="s">
        <v>1431</v>
      </c>
      <c r="J1504" s="70" t="s">
        <v>2776</v>
      </c>
      <c r="K1504" s="70" t="s">
        <v>2775</v>
      </c>
      <c r="L1504" s="70" t="s">
        <v>595</v>
      </c>
      <c r="M1504" s="12" t="s">
        <v>918</v>
      </c>
      <c r="N1504" s="26">
        <v>1</v>
      </c>
      <c r="O1504" s="57">
        <f>P1504/N1504</f>
        <v>1500000</v>
      </c>
      <c r="P1504" s="62">
        <f>1071429+428571</f>
        <v>1500000</v>
      </c>
      <c r="Q1504" s="6" t="s">
        <v>616</v>
      </c>
      <c r="R1504" s="6" t="s">
        <v>770</v>
      </c>
      <c r="S1504" s="38" t="s">
        <v>1179</v>
      </c>
      <c r="T1504" s="6">
        <v>30</v>
      </c>
    </row>
    <row r="1505" spans="1:20" s="1" customFormat="1" ht="76.5">
      <c r="A1505" s="3"/>
      <c r="B1505" s="6">
        <v>1489</v>
      </c>
      <c r="C1505" s="16" t="s">
        <v>714</v>
      </c>
      <c r="D1505" s="38" t="s">
        <v>601</v>
      </c>
      <c r="E1505" s="6" t="s">
        <v>704</v>
      </c>
      <c r="F1505" s="70" t="s">
        <v>871</v>
      </c>
      <c r="G1505" s="70" t="s">
        <v>705</v>
      </c>
      <c r="H1505" s="70" t="s">
        <v>871</v>
      </c>
      <c r="I1505" s="70" t="s">
        <v>705</v>
      </c>
      <c r="J1505" s="70" t="s">
        <v>1948</v>
      </c>
      <c r="K1505" s="70" t="s">
        <v>294</v>
      </c>
      <c r="L1505" s="70" t="s">
        <v>595</v>
      </c>
      <c r="M1505" s="12" t="s">
        <v>918</v>
      </c>
      <c r="N1505" s="26">
        <v>1</v>
      </c>
      <c r="O1505" s="57">
        <v>1785714</v>
      </c>
      <c r="P1505" s="62">
        <f t="shared" si="28"/>
        <v>1785714</v>
      </c>
      <c r="Q1505" s="5" t="s">
        <v>395</v>
      </c>
      <c r="R1505" s="6" t="s">
        <v>770</v>
      </c>
      <c r="S1505" s="38" t="s">
        <v>1179</v>
      </c>
      <c r="T1505" s="6">
        <v>30</v>
      </c>
    </row>
    <row r="1506" spans="1:20" s="1" customFormat="1" ht="102">
      <c r="A1506" s="3"/>
      <c r="B1506" s="6">
        <v>1490</v>
      </c>
      <c r="C1506" s="16" t="s">
        <v>714</v>
      </c>
      <c r="D1506" s="38" t="s">
        <v>601</v>
      </c>
      <c r="E1506" s="6" t="s">
        <v>1432</v>
      </c>
      <c r="F1506" s="70" t="s">
        <v>1950</v>
      </c>
      <c r="G1506" s="70" t="s">
        <v>1433</v>
      </c>
      <c r="H1506" s="70" t="s">
        <v>1951</v>
      </c>
      <c r="I1506" s="70" t="s">
        <v>1434</v>
      </c>
      <c r="J1506" s="70" t="s">
        <v>1949</v>
      </c>
      <c r="K1506" s="70" t="s">
        <v>295</v>
      </c>
      <c r="L1506" s="70" t="s">
        <v>1490</v>
      </c>
      <c r="M1506" s="12" t="s">
        <v>918</v>
      </c>
      <c r="N1506" s="26">
        <v>1</v>
      </c>
      <c r="O1506" s="57">
        <v>14040000</v>
      </c>
      <c r="P1506" s="62">
        <f t="shared" si="28"/>
        <v>14040000</v>
      </c>
      <c r="Q1506" s="6" t="s">
        <v>397</v>
      </c>
      <c r="R1506" s="6" t="s">
        <v>770</v>
      </c>
      <c r="S1506" s="38" t="s">
        <v>1179</v>
      </c>
      <c r="T1506" s="6">
        <v>0</v>
      </c>
    </row>
    <row r="1507" spans="1:20" s="1" customFormat="1" ht="89.25">
      <c r="A1507" s="3"/>
      <c r="B1507" s="6">
        <v>1491</v>
      </c>
      <c r="C1507" s="16" t="s">
        <v>714</v>
      </c>
      <c r="D1507" s="38" t="s">
        <v>601</v>
      </c>
      <c r="E1507" s="6" t="s">
        <v>1177</v>
      </c>
      <c r="F1507" s="70" t="s">
        <v>1953</v>
      </c>
      <c r="G1507" s="70" t="s">
        <v>513</v>
      </c>
      <c r="H1507" s="70" t="s">
        <v>1954</v>
      </c>
      <c r="I1507" s="70" t="s">
        <v>1178</v>
      </c>
      <c r="J1507" s="70" t="s">
        <v>1952</v>
      </c>
      <c r="K1507" s="70" t="s">
        <v>296</v>
      </c>
      <c r="L1507" s="70" t="s">
        <v>1489</v>
      </c>
      <c r="M1507" s="12" t="s">
        <v>918</v>
      </c>
      <c r="N1507" s="26">
        <v>1</v>
      </c>
      <c r="O1507" s="57">
        <f>P1507/N1507</f>
        <v>0</v>
      </c>
      <c r="P1507" s="62">
        <f>5357143-5357143</f>
        <v>0</v>
      </c>
      <c r="Q1507" s="5" t="s">
        <v>519</v>
      </c>
      <c r="R1507" s="6" t="s">
        <v>770</v>
      </c>
      <c r="S1507" s="38" t="s">
        <v>1179</v>
      </c>
      <c r="T1507" s="6">
        <v>0</v>
      </c>
    </row>
    <row r="1508" spans="1:20" s="1" customFormat="1" ht="102">
      <c r="A1508" s="3"/>
      <c r="B1508" s="6">
        <v>1492</v>
      </c>
      <c r="C1508" s="16" t="s">
        <v>714</v>
      </c>
      <c r="D1508" s="38" t="s">
        <v>601</v>
      </c>
      <c r="E1508" s="6" t="s">
        <v>1436</v>
      </c>
      <c r="F1508" s="70" t="s">
        <v>1957</v>
      </c>
      <c r="G1508" s="70" t="s">
        <v>1437</v>
      </c>
      <c r="H1508" s="70" t="s">
        <v>1958</v>
      </c>
      <c r="I1508" s="70" t="s">
        <v>1438</v>
      </c>
      <c r="J1508" s="70" t="s">
        <v>2778</v>
      </c>
      <c r="K1508" s="70" t="s">
        <v>2777</v>
      </c>
      <c r="L1508" s="70" t="s">
        <v>595</v>
      </c>
      <c r="M1508" s="12" t="s">
        <v>918</v>
      </c>
      <c r="N1508" s="26">
        <v>1</v>
      </c>
      <c r="O1508" s="57">
        <f>P1508/N1508</f>
        <v>16184797</v>
      </c>
      <c r="P1508" s="62">
        <f>15200000+984797</f>
        <v>16184797</v>
      </c>
      <c r="Q1508" s="5" t="s">
        <v>616</v>
      </c>
      <c r="R1508" s="6" t="s">
        <v>770</v>
      </c>
      <c r="S1508" s="38" t="s">
        <v>1179</v>
      </c>
      <c r="T1508" s="6">
        <v>30</v>
      </c>
    </row>
    <row r="1509" spans="1:20" s="1" customFormat="1" ht="114.75">
      <c r="A1509" s="3"/>
      <c r="B1509" s="6">
        <v>1493</v>
      </c>
      <c r="C1509" s="16" t="s">
        <v>714</v>
      </c>
      <c r="D1509" s="38" t="s">
        <v>601</v>
      </c>
      <c r="E1509" s="6" t="s">
        <v>1436</v>
      </c>
      <c r="F1509" s="70" t="s">
        <v>1957</v>
      </c>
      <c r="G1509" s="70" t="s">
        <v>1437</v>
      </c>
      <c r="H1509" s="70" t="s">
        <v>1958</v>
      </c>
      <c r="I1509" s="70" t="s">
        <v>1438</v>
      </c>
      <c r="J1509" s="70" t="s">
        <v>2780</v>
      </c>
      <c r="K1509" s="70" t="s">
        <v>2779</v>
      </c>
      <c r="L1509" s="70" t="s">
        <v>595</v>
      </c>
      <c r="M1509" s="12" t="s">
        <v>918</v>
      </c>
      <c r="N1509" s="26">
        <v>1</v>
      </c>
      <c r="O1509" s="57">
        <f>P1509/N1509</f>
        <v>14757857</v>
      </c>
      <c r="P1509" s="62">
        <f>10700000+4057857</f>
        <v>14757857</v>
      </c>
      <c r="Q1509" s="5" t="s">
        <v>505</v>
      </c>
      <c r="R1509" s="6" t="s">
        <v>770</v>
      </c>
      <c r="S1509" s="38" t="s">
        <v>1179</v>
      </c>
      <c r="T1509" s="6">
        <v>50</v>
      </c>
    </row>
    <row r="1510" spans="1:20" s="1" customFormat="1" ht="102">
      <c r="A1510" s="3"/>
      <c r="B1510" s="6">
        <v>1494</v>
      </c>
      <c r="C1510" s="16" t="s">
        <v>714</v>
      </c>
      <c r="D1510" s="38" t="s">
        <v>601</v>
      </c>
      <c r="E1510" s="6" t="s">
        <v>1439</v>
      </c>
      <c r="F1510" s="70" t="s">
        <v>1959</v>
      </c>
      <c r="G1510" s="70" t="s">
        <v>1440</v>
      </c>
      <c r="H1510" s="70" t="s">
        <v>1960</v>
      </c>
      <c r="I1510" s="70" t="s">
        <v>1441</v>
      </c>
      <c r="J1510" s="70" t="s">
        <v>2919</v>
      </c>
      <c r="K1510" s="70" t="s">
        <v>2918</v>
      </c>
      <c r="L1510" s="70" t="s">
        <v>595</v>
      </c>
      <c r="M1510" s="12" t="s">
        <v>918</v>
      </c>
      <c r="N1510" s="26">
        <v>1</v>
      </c>
      <c r="O1510" s="57">
        <v>4200000</v>
      </c>
      <c r="P1510" s="62">
        <f t="shared" si="28"/>
        <v>4200000</v>
      </c>
      <c r="Q1510" s="5" t="s">
        <v>505</v>
      </c>
      <c r="R1510" s="6" t="s">
        <v>770</v>
      </c>
      <c r="S1510" s="38" t="s">
        <v>1179</v>
      </c>
      <c r="T1510" s="6">
        <v>30</v>
      </c>
    </row>
    <row r="1511" spans="1:20" ht="255">
      <c r="B1511" s="6">
        <v>1495</v>
      </c>
      <c r="C1511" s="16" t="s">
        <v>714</v>
      </c>
      <c r="D1511" s="38" t="s">
        <v>601</v>
      </c>
      <c r="E1511" s="6" t="s">
        <v>970</v>
      </c>
      <c r="F1511" s="70" t="s">
        <v>1961</v>
      </c>
      <c r="G1511" s="70" t="s">
        <v>920</v>
      </c>
      <c r="H1511" s="70" t="s">
        <v>2772</v>
      </c>
      <c r="I1511" s="70" t="s">
        <v>1503</v>
      </c>
      <c r="J1511" s="70" t="s">
        <v>2782</v>
      </c>
      <c r="K1511" s="70" t="s">
        <v>2781</v>
      </c>
      <c r="L1511" s="70" t="s">
        <v>595</v>
      </c>
      <c r="M1511" s="12" t="s">
        <v>918</v>
      </c>
      <c r="N1511" s="26">
        <v>1</v>
      </c>
      <c r="O1511" s="57">
        <f>P1511/N1511</f>
        <v>3303571</v>
      </c>
      <c r="P1511" s="62">
        <f>2964286+339285</f>
        <v>3303571</v>
      </c>
      <c r="Q1511" s="5" t="s">
        <v>505</v>
      </c>
      <c r="R1511" s="6" t="s">
        <v>770</v>
      </c>
      <c r="S1511" s="38" t="s">
        <v>1179</v>
      </c>
      <c r="T1511" s="26">
        <v>30</v>
      </c>
    </row>
    <row r="1512" spans="1:20" s="1" customFormat="1" ht="125.25" customHeight="1">
      <c r="A1512" s="3"/>
      <c r="B1512" s="6">
        <v>1496</v>
      </c>
      <c r="C1512" s="16" t="s">
        <v>714</v>
      </c>
      <c r="D1512" s="38" t="s">
        <v>601</v>
      </c>
      <c r="E1512" s="123" t="s">
        <v>1442</v>
      </c>
      <c r="F1512" s="70" t="s">
        <v>1962</v>
      </c>
      <c r="G1512" s="70" t="s">
        <v>1443</v>
      </c>
      <c r="H1512" s="70" t="s">
        <v>1962</v>
      </c>
      <c r="I1512" s="70" t="s">
        <v>1443</v>
      </c>
      <c r="J1512" s="70" t="s">
        <v>2784</v>
      </c>
      <c r="K1512" s="70" t="s">
        <v>2783</v>
      </c>
      <c r="L1512" s="70" t="s">
        <v>595</v>
      </c>
      <c r="M1512" s="12" t="s">
        <v>918</v>
      </c>
      <c r="N1512" s="26">
        <v>1</v>
      </c>
      <c r="O1512" s="57">
        <f>P1512/N1512</f>
        <v>14285714</v>
      </c>
      <c r="P1512" s="62">
        <f>8851473+5434241</f>
        <v>14285714</v>
      </c>
      <c r="Q1512" s="5" t="s">
        <v>616</v>
      </c>
      <c r="R1512" s="6" t="s">
        <v>770</v>
      </c>
      <c r="S1512" s="38" t="s">
        <v>1179</v>
      </c>
      <c r="T1512" s="6">
        <v>30</v>
      </c>
    </row>
    <row r="1513" spans="1:20" s="1" customFormat="1" ht="76.5">
      <c r="A1513" s="3"/>
      <c r="B1513" s="6">
        <v>1497</v>
      </c>
      <c r="C1513" s="16" t="s">
        <v>714</v>
      </c>
      <c r="D1513" s="38" t="s">
        <v>601</v>
      </c>
      <c r="E1513" s="123" t="s">
        <v>1439</v>
      </c>
      <c r="F1513" s="70" t="s">
        <v>1959</v>
      </c>
      <c r="G1513" s="70" t="s">
        <v>1440</v>
      </c>
      <c r="H1513" s="70" t="s">
        <v>1960</v>
      </c>
      <c r="I1513" s="70" t="s">
        <v>1441</v>
      </c>
      <c r="J1513" s="70" t="s">
        <v>2921</v>
      </c>
      <c r="K1513" s="70" t="s">
        <v>2920</v>
      </c>
      <c r="L1513" s="70" t="s">
        <v>595</v>
      </c>
      <c r="M1513" s="12" t="s">
        <v>918</v>
      </c>
      <c r="N1513" s="26">
        <v>1</v>
      </c>
      <c r="O1513" s="57">
        <v>1435714</v>
      </c>
      <c r="P1513" s="62">
        <f t="shared" si="28"/>
        <v>1435714</v>
      </c>
      <c r="Q1513" s="5" t="s">
        <v>505</v>
      </c>
      <c r="R1513" s="6" t="s">
        <v>770</v>
      </c>
      <c r="S1513" s="38" t="s">
        <v>1179</v>
      </c>
      <c r="T1513" s="6">
        <v>50</v>
      </c>
    </row>
    <row r="1514" spans="1:20" ht="63" customHeight="1">
      <c r="B1514" s="6">
        <v>1498</v>
      </c>
      <c r="C1514" s="16" t="s">
        <v>714</v>
      </c>
      <c r="D1514" s="38" t="s">
        <v>601</v>
      </c>
      <c r="E1514" s="6" t="s">
        <v>528</v>
      </c>
      <c r="F1514" s="70" t="s">
        <v>1963</v>
      </c>
      <c r="G1514" s="70" t="s">
        <v>529</v>
      </c>
      <c r="H1514" s="70" t="s">
        <v>1964</v>
      </c>
      <c r="I1514" s="70" t="s">
        <v>530</v>
      </c>
      <c r="J1514" s="70" t="s">
        <v>2786</v>
      </c>
      <c r="K1514" s="70" t="s">
        <v>2785</v>
      </c>
      <c r="L1514" s="70" t="s">
        <v>595</v>
      </c>
      <c r="M1514" s="12" t="s">
        <v>918</v>
      </c>
      <c r="N1514" s="26">
        <v>1</v>
      </c>
      <c r="O1514" s="57">
        <f>P1514/N1514</f>
        <v>6000000</v>
      </c>
      <c r="P1514" s="62">
        <f>5147813+852187</f>
        <v>6000000</v>
      </c>
      <c r="Q1514" s="5" t="s">
        <v>616</v>
      </c>
      <c r="R1514" s="6" t="s">
        <v>770</v>
      </c>
      <c r="S1514" s="38" t="s">
        <v>1179</v>
      </c>
      <c r="T1514" s="26">
        <v>30</v>
      </c>
    </row>
    <row r="1515" spans="1:20" s="1" customFormat="1" ht="63.75">
      <c r="A1515" s="3"/>
      <c r="B1515" s="6">
        <v>1499</v>
      </c>
      <c r="C1515" s="16" t="s">
        <v>714</v>
      </c>
      <c r="D1515" s="38" t="s">
        <v>601</v>
      </c>
      <c r="E1515" s="12" t="s">
        <v>1435</v>
      </c>
      <c r="F1515" s="70" t="s">
        <v>1955</v>
      </c>
      <c r="G1515" s="70" t="s">
        <v>1956</v>
      </c>
      <c r="H1515" s="70" t="s">
        <v>1955</v>
      </c>
      <c r="I1515" s="70" t="s">
        <v>1956</v>
      </c>
      <c r="J1515" s="70" t="s">
        <v>2788</v>
      </c>
      <c r="K1515" s="70" t="s">
        <v>2787</v>
      </c>
      <c r="L1515" s="70" t="s">
        <v>595</v>
      </c>
      <c r="M1515" s="12" t="s">
        <v>918</v>
      </c>
      <c r="N1515" s="26">
        <v>1</v>
      </c>
      <c r="O1515" s="57">
        <f>P1515/N1515</f>
        <v>7142857</v>
      </c>
      <c r="P1515" s="62">
        <f>9375000-2232143</f>
        <v>7142857</v>
      </c>
      <c r="Q1515" s="5" t="s">
        <v>505</v>
      </c>
      <c r="R1515" s="6" t="s">
        <v>770</v>
      </c>
      <c r="S1515" s="38" t="s">
        <v>1179</v>
      </c>
      <c r="T1515" s="6">
        <v>30</v>
      </c>
    </row>
    <row r="1516" spans="1:20" s="14" customFormat="1" ht="89.25">
      <c r="A1516" s="2"/>
      <c r="B1516" s="6">
        <v>1500</v>
      </c>
      <c r="C1516" s="16" t="s">
        <v>714</v>
      </c>
      <c r="D1516" s="38" t="s">
        <v>601</v>
      </c>
      <c r="E1516" s="12" t="s">
        <v>1453</v>
      </c>
      <c r="F1516" s="70" t="s">
        <v>1966</v>
      </c>
      <c r="G1516" s="70" t="s">
        <v>1454</v>
      </c>
      <c r="H1516" s="70" t="s">
        <v>1967</v>
      </c>
      <c r="I1516" s="70" t="s">
        <v>1455</v>
      </c>
      <c r="J1516" s="70" t="s">
        <v>1968</v>
      </c>
      <c r="K1516" s="70" t="s">
        <v>94</v>
      </c>
      <c r="L1516" s="70" t="s">
        <v>1489</v>
      </c>
      <c r="M1516" s="12" t="s">
        <v>918</v>
      </c>
      <c r="N1516" s="26">
        <v>1</v>
      </c>
      <c r="O1516" s="57">
        <v>4285714</v>
      </c>
      <c r="P1516" s="62">
        <f t="shared" si="28"/>
        <v>4285714</v>
      </c>
      <c r="Q1516" s="5" t="s">
        <v>397</v>
      </c>
      <c r="R1516" s="6" t="s">
        <v>770</v>
      </c>
      <c r="S1516" s="38" t="s">
        <v>1179</v>
      </c>
      <c r="T1516" s="26">
        <v>30</v>
      </c>
    </row>
    <row r="1517" spans="1:20" s="14" customFormat="1" ht="89.25">
      <c r="A1517" s="2"/>
      <c r="B1517" s="6">
        <v>1501</v>
      </c>
      <c r="C1517" s="36" t="s">
        <v>714</v>
      </c>
      <c r="D1517" s="43" t="s">
        <v>601</v>
      </c>
      <c r="E1517" s="12" t="s">
        <v>528</v>
      </c>
      <c r="F1517" s="70" t="s">
        <v>2048</v>
      </c>
      <c r="G1517" s="70" t="s">
        <v>529</v>
      </c>
      <c r="H1517" s="70" t="s">
        <v>2025</v>
      </c>
      <c r="I1517" s="70" t="s">
        <v>530</v>
      </c>
      <c r="J1517" s="70" t="s">
        <v>2049</v>
      </c>
      <c r="K1517" s="70" t="s">
        <v>115</v>
      </c>
      <c r="L1517" s="70" t="s">
        <v>595</v>
      </c>
      <c r="M1517" s="12" t="s">
        <v>918</v>
      </c>
      <c r="N1517" s="26">
        <v>1</v>
      </c>
      <c r="O1517" s="57">
        <v>829082</v>
      </c>
      <c r="P1517" s="62">
        <f t="shared" si="28"/>
        <v>829082</v>
      </c>
      <c r="Q1517" s="6" t="s">
        <v>506</v>
      </c>
      <c r="R1517" s="6" t="s">
        <v>770</v>
      </c>
      <c r="S1517" s="38" t="s">
        <v>2038</v>
      </c>
      <c r="T1517" s="26">
        <v>30</v>
      </c>
    </row>
    <row r="1518" spans="1:20" s="14" customFormat="1" ht="89.25">
      <c r="A1518" s="2"/>
      <c r="B1518" s="6">
        <v>1502</v>
      </c>
      <c r="C1518" s="16" t="s">
        <v>714</v>
      </c>
      <c r="D1518" s="38" t="s">
        <v>601</v>
      </c>
      <c r="E1518" s="12" t="s">
        <v>528</v>
      </c>
      <c r="F1518" s="70" t="s">
        <v>2048</v>
      </c>
      <c r="G1518" s="70" t="s">
        <v>529</v>
      </c>
      <c r="H1518" s="70" t="s">
        <v>2025</v>
      </c>
      <c r="I1518" s="70" t="s">
        <v>530</v>
      </c>
      <c r="J1518" s="70" t="s">
        <v>2049</v>
      </c>
      <c r="K1518" s="70" t="s">
        <v>115</v>
      </c>
      <c r="L1518" s="70" t="s">
        <v>595</v>
      </c>
      <c r="M1518" s="12" t="s">
        <v>918</v>
      </c>
      <c r="N1518" s="26">
        <v>1</v>
      </c>
      <c r="O1518" s="57">
        <v>829082</v>
      </c>
      <c r="P1518" s="62">
        <f t="shared" si="28"/>
        <v>829082</v>
      </c>
      <c r="Q1518" s="6" t="s">
        <v>519</v>
      </c>
      <c r="R1518" s="6" t="s">
        <v>770</v>
      </c>
      <c r="S1518" s="38" t="s">
        <v>1025</v>
      </c>
      <c r="T1518" s="26">
        <v>30</v>
      </c>
    </row>
    <row r="1519" spans="1:20" s="14" customFormat="1" ht="89.25">
      <c r="A1519" s="2"/>
      <c r="B1519" s="6">
        <v>1503</v>
      </c>
      <c r="C1519" s="16" t="s">
        <v>714</v>
      </c>
      <c r="D1519" s="38" t="s">
        <v>601</v>
      </c>
      <c r="E1519" s="12" t="s">
        <v>528</v>
      </c>
      <c r="F1519" s="70" t="s">
        <v>2048</v>
      </c>
      <c r="G1519" s="70" t="s">
        <v>529</v>
      </c>
      <c r="H1519" s="70" t="s">
        <v>2025</v>
      </c>
      <c r="I1519" s="70" t="s">
        <v>530</v>
      </c>
      <c r="J1519" s="70" t="s">
        <v>2049</v>
      </c>
      <c r="K1519" s="70" t="s">
        <v>115</v>
      </c>
      <c r="L1519" s="70" t="s">
        <v>595</v>
      </c>
      <c r="M1519" s="12" t="s">
        <v>918</v>
      </c>
      <c r="N1519" s="26">
        <v>1</v>
      </c>
      <c r="O1519" s="57">
        <v>829082</v>
      </c>
      <c r="P1519" s="62">
        <f t="shared" si="28"/>
        <v>829082</v>
      </c>
      <c r="Q1519" s="6" t="s">
        <v>505</v>
      </c>
      <c r="R1519" s="6" t="s">
        <v>770</v>
      </c>
      <c r="S1519" s="38" t="s">
        <v>793</v>
      </c>
      <c r="T1519" s="6">
        <v>0</v>
      </c>
    </row>
    <row r="1520" spans="1:20" s="14" customFormat="1" ht="89.25">
      <c r="B1520" s="6">
        <v>1504</v>
      </c>
      <c r="C1520" s="16" t="s">
        <v>714</v>
      </c>
      <c r="D1520" s="38" t="s">
        <v>601</v>
      </c>
      <c r="E1520" s="12" t="s">
        <v>528</v>
      </c>
      <c r="F1520" s="70" t="s">
        <v>2048</v>
      </c>
      <c r="G1520" s="70" t="s">
        <v>529</v>
      </c>
      <c r="H1520" s="70" t="s">
        <v>2025</v>
      </c>
      <c r="I1520" s="70" t="s">
        <v>530</v>
      </c>
      <c r="J1520" s="70" t="s">
        <v>2049</v>
      </c>
      <c r="K1520" s="70" t="s">
        <v>115</v>
      </c>
      <c r="L1520" s="70" t="s">
        <v>595</v>
      </c>
      <c r="M1520" s="12" t="s">
        <v>918</v>
      </c>
      <c r="N1520" s="26">
        <v>1</v>
      </c>
      <c r="O1520" s="57">
        <v>1339286</v>
      </c>
      <c r="P1520" s="62">
        <f t="shared" si="28"/>
        <v>1339286</v>
      </c>
      <c r="Q1520" s="6" t="s">
        <v>702</v>
      </c>
      <c r="R1520" s="16" t="s">
        <v>703</v>
      </c>
      <c r="S1520" s="38" t="s">
        <v>2035</v>
      </c>
      <c r="T1520" s="26">
        <v>0</v>
      </c>
    </row>
    <row r="1521" spans="1:20" s="14" customFormat="1" ht="89.25">
      <c r="A1521" s="2"/>
      <c r="B1521" s="6">
        <v>1505</v>
      </c>
      <c r="C1521" s="16" t="s">
        <v>714</v>
      </c>
      <c r="D1521" s="38" t="s">
        <v>601</v>
      </c>
      <c r="E1521" s="12" t="s">
        <v>528</v>
      </c>
      <c r="F1521" s="70" t="s">
        <v>2048</v>
      </c>
      <c r="G1521" s="70" t="s">
        <v>529</v>
      </c>
      <c r="H1521" s="70" t="s">
        <v>2025</v>
      </c>
      <c r="I1521" s="70" t="s">
        <v>530</v>
      </c>
      <c r="J1521" s="70" t="s">
        <v>2049</v>
      </c>
      <c r="K1521" s="70" t="s">
        <v>115</v>
      </c>
      <c r="L1521" s="70" t="s">
        <v>595</v>
      </c>
      <c r="M1521" s="12" t="s">
        <v>918</v>
      </c>
      <c r="N1521" s="26">
        <v>1</v>
      </c>
      <c r="O1521" s="57">
        <v>1339286</v>
      </c>
      <c r="P1521" s="62">
        <f t="shared" si="28"/>
        <v>1339286</v>
      </c>
      <c r="Q1521" s="6" t="s">
        <v>397</v>
      </c>
      <c r="R1521" s="6" t="s">
        <v>770</v>
      </c>
      <c r="S1521" s="38" t="s">
        <v>2030</v>
      </c>
      <c r="T1521" s="26">
        <v>0</v>
      </c>
    </row>
    <row r="1522" spans="1:20" s="14" customFormat="1" ht="89.25">
      <c r="A1522" s="17"/>
      <c r="B1522" s="6">
        <v>1506</v>
      </c>
      <c r="C1522" s="16" t="s">
        <v>714</v>
      </c>
      <c r="D1522" s="38" t="s">
        <v>601</v>
      </c>
      <c r="E1522" s="12" t="s">
        <v>528</v>
      </c>
      <c r="F1522" s="70" t="s">
        <v>2048</v>
      </c>
      <c r="G1522" s="70" t="s">
        <v>529</v>
      </c>
      <c r="H1522" s="70" t="s">
        <v>2025</v>
      </c>
      <c r="I1522" s="70" t="s">
        <v>530</v>
      </c>
      <c r="J1522" s="70" t="s">
        <v>2049</v>
      </c>
      <c r="K1522" s="70" t="s">
        <v>115</v>
      </c>
      <c r="L1522" s="70" t="s">
        <v>595</v>
      </c>
      <c r="M1522" s="12" t="s">
        <v>918</v>
      </c>
      <c r="N1522" s="26">
        <v>1</v>
      </c>
      <c r="O1522" s="57">
        <v>829082</v>
      </c>
      <c r="P1522" s="62">
        <f t="shared" si="28"/>
        <v>829082</v>
      </c>
      <c r="Q1522" s="6" t="s">
        <v>616</v>
      </c>
      <c r="R1522" s="6" t="s">
        <v>770</v>
      </c>
      <c r="S1522" s="38" t="s">
        <v>2031</v>
      </c>
      <c r="T1522" s="26">
        <v>30</v>
      </c>
    </row>
    <row r="1523" spans="1:20" ht="89.25">
      <c r="B1523" s="6">
        <v>1507</v>
      </c>
      <c r="C1523" s="16" t="s">
        <v>714</v>
      </c>
      <c r="D1523" s="38" t="s">
        <v>601</v>
      </c>
      <c r="E1523" s="12" t="s">
        <v>528</v>
      </c>
      <c r="F1523" s="70" t="s">
        <v>2048</v>
      </c>
      <c r="G1523" s="70" t="s">
        <v>529</v>
      </c>
      <c r="H1523" s="70" t="s">
        <v>2025</v>
      </c>
      <c r="I1523" s="70" t="s">
        <v>530</v>
      </c>
      <c r="J1523" s="70" t="s">
        <v>2049</v>
      </c>
      <c r="K1523" s="70" t="s">
        <v>115</v>
      </c>
      <c r="L1523" s="70" t="s">
        <v>595</v>
      </c>
      <c r="M1523" s="12" t="s">
        <v>918</v>
      </c>
      <c r="N1523" s="26">
        <v>1</v>
      </c>
      <c r="O1523" s="57">
        <v>829082</v>
      </c>
      <c r="P1523" s="62">
        <f t="shared" si="28"/>
        <v>829082</v>
      </c>
      <c r="Q1523" s="6" t="s">
        <v>397</v>
      </c>
      <c r="R1523" s="6" t="s">
        <v>1055</v>
      </c>
      <c r="S1523" s="38" t="s">
        <v>637</v>
      </c>
      <c r="T1523" s="26">
        <v>0</v>
      </c>
    </row>
    <row r="1524" spans="1:20" s="42" customFormat="1" ht="89.25">
      <c r="A1524" s="41"/>
      <c r="B1524" s="6">
        <v>1508</v>
      </c>
      <c r="C1524" s="16" t="s">
        <v>714</v>
      </c>
      <c r="D1524" s="38" t="s">
        <v>601</v>
      </c>
      <c r="E1524" s="12" t="s">
        <v>528</v>
      </c>
      <c r="F1524" s="70" t="s">
        <v>2048</v>
      </c>
      <c r="G1524" s="70" t="s">
        <v>529</v>
      </c>
      <c r="H1524" s="70" t="s">
        <v>2025</v>
      </c>
      <c r="I1524" s="70" t="s">
        <v>530</v>
      </c>
      <c r="J1524" s="70" t="s">
        <v>2049</v>
      </c>
      <c r="K1524" s="70" t="s">
        <v>115</v>
      </c>
      <c r="L1524" s="70" t="s">
        <v>595</v>
      </c>
      <c r="M1524" s="12" t="s">
        <v>918</v>
      </c>
      <c r="N1524" s="26">
        <v>1</v>
      </c>
      <c r="O1524" s="57">
        <v>829082</v>
      </c>
      <c r="P1524" s="62">
        <f t="shared" si="28"/>
        <v>829082</v>
      </c>
      <c r="Q1524" s="6" t="s">
        <v>510</v>
      </c>
      <c r="R1524" s="6" t="s">
        <v>770</v>
      </c>
      <c r="S1524" s="38">
        <v>311000000</v>
      </c>
      <c r="T1524" s="26">
        <v>30</v>
      </c>
    </row>
    <row r="1525" spans="1:20" s="45" customFormat="1" ht="89.25">
      <c r="A1525" s="44"/>
      <c r="B1525" s="6">
        <v>1509</v>
      </c>
      <c r="C1525" s="16" t="s">
        <v>714</v>
      </c>
      <c r="D1525" s="38" t="s">
        <v>601</v>
      </c>
      <c r="E1525" s="12" t="s">
        <v>528</v>
      </c>
      <c r="F1525" s="70" t="s">
        <v>2048</v>
      </c>
      <c r="G1525" s="70" t="s">
        <v>529</v>
      </c>
      <c r="H1525" s="70" t="s">
        <v>2025</v>
      </c>
      <c r="I1525" s="70" t="s">
        <v>530</v>
      </c>
      <c r="J1525" s="70" t="s">
        <v>2049</v>
      </c>
      <c r="K1525" s="70" t="s">
        <v>115</v>
      </c>
      <c r="L1525" s="70" t="s">
        <v>595</v>
      </c>
      <c r="M1525" s="12" t="s">
        <v>918</v>
      </c>
      <c r="N1525" s="26">
        <v>1</v>
      </c>
      <c r="O1525" s="57">
        <v>829082</v>
      </c>
      <c r="P1525" s="62">
        <f t="shared" si="28"/>
        <v>829082</v>
      </c>
      <c r="Q1525" s="6" t="s">
        <v>397</v>
      </c>
      <c r="R1525" s="6" t="s">
        <v>770</v>
      </c>
      <c r="S1525" s="38" t="s">
        <v>2032</v>
      </c>
      <c r="T1525" s="26">
        <v>0</v>
      </c>
    </row>
    <row r="1526" spans="1:20" s="14" customFormat="1" ht="89.25">
      <c r="A1526" s="2"/>
      <c r="B1526" s="6">
        <v>1510</v>
      </c>
      <c r="C1526" s="16" t="s">
        <v>714</v>
      </c>
      <c r="D1526" s="38" t="s">
        <v>601</v>
      </c>
      <c r="E1526" s="12" t="s">
        <v>528</v>
      </c>
      <c r="F1526" s="70" t="s">
        <v>2048</v>
      </c>
      <c r="G1526" s="70" t="s">
        <v>529</v>
      </c>
      <c r="H1526" s="70" t="s">
        <v>2025</v>
      </c>
      <c r="I1526" s="70" t="s">
        <v>530</v>
      </c>
      <c r="J1526" s="70" t="s">
        <v>2049</v>
      </c>
      <c r="K1526" s="70" t="s">
        <v>115</v>
      </c>
      <c r="L1526" s="70" t="s">
        <v>595</v>
      </c>
      <c r="M1526" s="12" t="s">
        <v>918</v>
      </c>
      <c r="N1526" s="26">
        <v>1</v>
      </c>
      <c r="O1526" s="57">
        <v>829082</v>
      </c>
      <c r="P1526" s="62">
        <f t="shared" si="28"/>
        <v>829082</v>
      </c>
      <c r="Q1526" s="6" t="s">
        <v>397</v>
      </c>
      <c r="R1526" s="6" t="s">
        <v>1055</v>
      </c>
      <c r="S1526" s="38">
        <v>351000000</v>
      </c>
      <c r="T1526" s="26">
        <v>0</v>
      </c>
    </row>
    <row r="1527" spans="1:20" ht="89.25">
      <c r="B1527" s="6">
        <v>1511</v>
      </c>
      <c r="C1527" s="16" t="s">
        <v>714</v>
      </c>
      <c r="D1527" s="38" t="s">
        <v>601</v>
      </c>
      <c r="E1527" s="12" t="s">
        <v>528</v>
      </c>
      <c r="F1527" s="70" t="s">
        <v>2048</v>
      </c>
      <c r="G1527" s="70" t="s">
        <v>529</v>
      </c>
      <c r="H1527" s="70" t="s">
        <v>2025</v>
      </c>
      <c r="I1527" s="70" t="s">
        <v>530</v>
      </c>
      <c r="J1527" s="70" t="s">
        <v>2049</v>
      </c>
      <c r="K1527" s="70" t="s">
        <v>115</v>
      </c>
      <c r="L1527" s="70" t="s">
        <v>595</v>
      </c>
      <c r="M1527" s="12" t="s">
        <v>918</v>
      </c>
      <c r="N1527" s="26">
        <v>1</v>
      </c>
      <c r="O1527" s="57">
        <v>829082</v>
      </c>
      <c r="P1527" s="62">
        <f t="shared" si="28"/>
        <v>829082</v>
      </c>
      <c r="Q1527" s="6" t="s">
        <v>506</v>
      </c>
      <c r="R1527" s="6" t="s">
        <v>770</v>
      </c>
      <c r="S1527" s="38" t="s">
        <v>929</v>
      </c>
      <c r="T1527" s="26">
        <v>50</v>
      </c>
    </row>
    <row r="1528" spans="1:20" s="14" customFormat="1" ht="89.25">
      <c r="A1528" s="2"/>
      <c r="B1528" s="6">
        <v>1512</v>
      </c>
      <c r="C1528" s="16" t="s">
        <v>714</v>
      </c>
      <c r="D1528" s="38" t="s">
        <v>601</v>
      </c>
      <c r="E1528" s="12" t="s">
        <v>528</v>
      </c>
      <c r="F1528" s="70" t="s">
        <v>2048</v>
      </c>
      <c r="G1528" s="70" t="s">
        <v>529</v>
      </c>
      <c r="H1528" s="70" t="s">
        <v>2025</v>
      </c>
      <c r="I1528" s="70" t="s">
        <v>530</v>
      </c>
      <c r="J1528" s="70" t="s">
        <v>2049</v>
      </c>
      <c r="K1528" s="70" t="s">
        <v>115</v>
      </c>
      <c r="L1528" s="70" t="s">
        <v>595</v>
      </c>
      <c r="M1528" s="12" t="s">
        <v>918</v>
      </c>
      <c r="N1528" s="26">
        <v>1</v>
      </c>
      <c r="O1528" s="57">
        <v>829082</v>
      </c>
      <c r="P1528" s="62">
        <f t="shared" si="28"/>
        <v>829082</v>
      </c>
      <c r="Q1528" s="6" t="s">
        <v>592</v>
      </c>
      <c r="R1528" s="6" t="s">
        <v>770</v>
      </c>
      <c r="S1528" s="38">
        <v>431000000</v>
      </c>
      <c r="T1528" s="26">
        <v>0</v>
      </c>
    </row>
    <row r="1529" spans="1:20" s="14" customFormat="1" ht="69" customHeight="1">
      <c r="A1529" s="2"/>
      <c r="B1529" s="6">
        <v>1513</v>
      </c>
      <c r="C1529" s="36" t="s">
        <v>714</v>
      </c>
      <c r="D1529" s="6" t="s">
        <v>601</v>
      </c>
      <c r="E1529" s="12" t="s">
        <v>528</v>
      </c>
      <c r="F1529" s="70" t="s">
        <v>2048</v>
      </c>
      <c r="G1529" s="70" t="s">
        <v>529</v>
      </c>
      <c r="H1529" s="70" t="s">
        <v>2025</v>
      </c>
      <c r="I1529" s="70" t="s">
        <v>530</v>
      </c>
      <c r="J1529" s="70" t="s">
        <v>2049</v>
      </c>
      <c r="K1529" s="70" t="s">
        <v>115</v>
      </c>
      <c r="L1529" s="70" t="s">
        <v>595</v>
      </c>
      <c r="M1529" s="12" t="s">
        <v>918</v>
      </c>
      <c r="N1529" s="65">
        <v>1</v>
      </c>
      <c r="O1529" s="57">
        <v>829082</v>
      </c>
      <c r="P1529" s="62">
        <f t="shared" si="28"/>
        <v>829082</v>
      </c>
      <c r="Q1529" s="6" t="s">
        <v>703</v>
      </c>
      <c r="R1529" s="6" t="s">
        <v>770</v>
      </c>
      <c r="S1529" s="38" t="s">
        <v>719</v>
      </c>
      <c r="T1529" s="26">
        <v>0</v>
      </c>
    </row>
    <row r="1530" spans="1:20" s="39" customFormat="1" ht="61.5" customHeight="1">
      <c r="B1530" s="6">
        <v>1514</v>
      </c>
      <c r="C1530" s="16" t="s">
        <v>714</v>
      </c>
      <c r="D1530" s="38" t="s">
        <v>601</v>
      </c>
      <c r="E1530" s="12" t="s">
        <v>528</v>
      </c>
      <c r="F1530" s="70" t="s">
        <v>2048</v>
      </c>
      <c r="G1530" s="70" t="s">
        <v>529</v>
      </c>
      <c r="H1530" s="70" t="s">
        <v>2025</v>
      </c>
      <c r="I1530" s="70" t="s">
        <v>530</v>
      </c>
      <c r="J1530" s="70" t="s">
        <v>2049</v>
      </c>
      <c r="K1530" s="70" t="s">
        <v>115</v>
      </c>
      <c r="L1530" s="70" t="s">
        <v>595</v>
      </c>
      <c r="M1530" s="12" t="s">
        <v>918</v>
      </c>
      <c r="N1530" s="26">
        <v>1</v>
      </c>
      <c r="O1530" s="57">
        <v>829082</v>
      </c>
      <c r="P1530" s="62">
        <f t="shared" si="28"/>
        <v>829082</v>
      </c>
      <c r="Q1530" s="6" t="s">
        <v>395</v>
      </c>
      <c r="R1530" s="6" t="s">
        <v>770</v>
      </c>
      <c r="S1530" s="38">
        <v>551000000</v>
      </c>
      <c r="T1530" s="26">
        <v>0</v>
      </c>
    </row>
    <row r="1531" spans="1:20" s="14" customFormat="1" ht="89.25">
      <c r="A1531" s="2"/>
      <c r="B1531" s="6">
        <v>1515</v>
      </c>
      <c r="C1531" s="16" t="s">
        <v>945</v>
      </c>
      <c r="D1531" s="6" t="s">
        <v>601</v>
      </c>
      <c r="E1531" s="12" t="s">
        <v>528</v>
      </c>
      <c r="F1531" s="70" t="s">
        <v>2048</v>
      </c>
      <c r="G1531" s="70" t="s">
        <v>529</v>
      </c>
      <c r="H1531" s="70" t="s">
        <v>2025</v>
      </c>
      <c r="I1531" s="70" t="s">
        <v>530</v>
      </c>
      <c r="J1531" s="70" t="s">
        <v>2049</v>
      </c>
      <c r="K1531" s="70" t="s">
        <v>115</v>
      </c>
      <c r="L1531" s="70" t="s">
        <v>595</v>
      </c>
      <c r="M1531" s="12" t="s">
        <v>918</v>
      </c>
      <c r="N1531" s="26">
        <v>1</v>
      </c>
      <c r="O1531" s="57">
        <v>829082</v>
      </c>
      <c r="P1531" s="62">
        <f t="shared" si="28"/>
        <v>829082</v>
      </c>
      <c r="Q1531" s="6" t="s">
        <v>592</v>
      </c>
      <c r="R1531" s="16" t="s">
        <v>592</v>
      </c>
      <c r="S1531" s="38">
        <v>591000000</v>
      </c>
      <c r="T1531" s="26">
        <v>30</v>
      </c>
    </row>
    <row r="1532" spans="1:20" s="14" customFormat="1" ht="89.25">
      <c r="A1532" s="2"/>
      <c r="B1532" s="6">
        <v>1516</v>
      </c>
      <c r="C1532" s="16" t="s">
        <v>714</v>
      </c>
      <c r="D1532" s="38" t="s">
        <v>601</v>
      </c>
      <c r="E1532" s="12" t="s">
        <v>528</v>
      </c>
      <c r="F1532" s="70" t="s">
        <v>2048</v>
      </c>
      <c r="G1532" s="70" t="s">
        <v>529</v>
      </c>
      <c r="H1532" s="70" t="s">
        <v>2025</v>
      </c>
      <c r="I1532" s="70" t="s">
        <v>530</v>
      </c>
      <c r="J1532" s="70" t="s">
        <v>2049</v>
      </c>
      <c r="K1532" s="70" t="s">
        <v>115</v>
      </c>
      <c r="L1532" s="70" t="s">
        <v>595</v>
      </c>
      <c r="M1532" s="12" t="s">
        <v>918</v>
      </c>
      <c r="N1532" s="26">
        <v>1</v>
      </c>
      <c r="O1532" s="57">
        <v>829082</v>
      </c>
      <c r="P1532" s="62">
        <f t="shared" si="28"/>
        <v>829082</v>
      </c>
      <c r="Q1532" s="6" t="s">
        <v>616</v>
      </c>
      <c r="R1532" s="6" t="s">
        <v>616</v>
      </c>
      <c r="S1532" s="38" t="s">
        <v>2037</v>
      </c>
      <c r="T1532" s="6">
        <v>0</v>
      </c>
    </row>
    <row r="1533" spans="1:20" s="1" customFormat="1" ht="63.75">
      <c r="A1533" s="3"/>
      <c r="B1533" s="6">
        <v>1517</v>
      </c>
      <c r="C1533" s="16" t="s">
        <v>714</v>
      </c>
      <c r="D1533" s="38" t="s">
        <v>601</v>
      </c>
      <c r="E1533" s="38" t="s">
        <v>1444</v>
      </c>
      <c r="F1533" s="93" t="s">
        <v>1969</v>
      </c>
      <c r="G1533" s="93" t="s">
        <v>1445</v>
      </c>
      <c r="H1533" s="93" t="s">
        <v>1970</v>
      </c>
      <c r="I1533" s="93" t="s">
        <v>1446</v>
      </c>
      <c r="J1533" s="93" t="s">
        <v>1965</v>
      </c>
      <c r="K1533" s="93" t="s">
        <v>306</v>
      </c>
      <c r="L1533" s="93" t="s">
        <v>1490</v>
      </c>
      <c r="M1533" s="12" t="s">
        <v>918</v>
      </c>
      <c r="N1533" s="26">
        <v>1</v>
      </c>
      <c r="O1533" s="57">
        <f>P1533/N1533</f>
        <v>0</v>
      </c>
      <c r="P1533" s="62">
        <f>25361744-25361744</f>
        <v>0</v>
      </c>
      <c r="Q1533" s="5" t="s">
        <v>519</v>
      </c>
      <c r="R1533" s="6" t="s">
        <v>770</v>
      </c>
      <c r="S1533" s="38" t="s">
        <v>1179</v>
      </c>
      <c r="T1533" s="6">
        <v>0</v>
      </c>
    </row>
    <row r="1534" spans="1:20" s="1" customFormat="1" ht="89.25">
      <c r="A1534" s="3"/>
      <c r="B1534" s="6">
        <v>1518</v>
      </c>
      <c r="C1534" s="16" t="s">
        <v>714</v>
      </c>
      <c r="D1534" s="38" t="s">
        <v>601</v>
      </c>
      <c r="E1534" s="38" t="s">
        <v>1447</v>
      </c>
      <c r="F1534" s="93" t="s">
        <v>1971</v>
      </c>
      <c r="G1534" s="93" t="s">
        <v>1448</v>
      </c>
      <c r="H1534" s="93" t="s">
        <v>1972</v>
      </c>
      <c r="I1534" s="93" t="s">
        <v>1449</v>
      </c>
      <c r="J1534" s="93" t="s">
        <v>1973</v>
      </c>
      <c r="K1534" s="93" t="s">
        <v>297</v>
      </c>
      <c r="L1534" s="93" t="s">
        <v>1490</v>
      </c>
      <c r="M1534" s="12" t="s">
        <v>918</v>
      </c>
      <c r="N1534" s="26">
        <v>1</v>
      </c>
      <c r="O1534" s="57">
        <f t="shared" ref="O1534:O1546" si="29">P1534/N1534</f>
        <v>0</v>
      </c>
      <c r="P1534" s="62">
        <f>14336161-14336161</f>
        <v>0</v>
      </c>
      <c r="Q1534" s="6" t="s">
        <v>519</v>
      </c>
      <c r="R1534" s="6" t="s">
        <v>770</v>
      </c>
      <c r="S1534" s="38" t="s">
        <v>1179</v>
      </c>
      <c r="T1534" s="6">
        <v>0</v>
      </c>
    </row>
    <row r="1535" spans="1:20" s="1" customFormat="1" ht="89.25">
      <c r="A1535" s="3"/>
      <c r="B1535" s="6">
        <v>1519</v>
      </c>
      <c r="C1535" s="16" t="s">
        <v>714</v>
      </c>
      <c r="D1535" s="38" t="s">
        <v>601</v>
      </c>
      <c r="E1535" s="38" t="s">
        <v>970</v>
      </c>
      <c r="F1535" s="93" t="s">
        <v>1961</v>
      </c>
      <c r="G1535" s="93" t="s">
        <v>920</v>
      </c>
      <c r="H1535" s="93" t="s">
        <v>1841</v>
      </c>
      <c r="I1535" s="93" t="s">
        <v>971</v>
      </c>
      <c r="J1535" s="93" t="s">
        <v>1974</v>
      </c>
      <c r="K1535" s="93" t="s">
        <v>307</v>
      </c>
      <c r="L1535" s="93" t="s">
        <v>1489</v>
      </c>
      <c r="M1535" s="12" t="s">
        <v>918</v>
      </c>
      <c r="N1535" s="26">
        <v>1</v>
      </c>
      <c r="O1535" s="57">
        <f t="shared" si="29"/>
        <v>0</v>
      </c>
      <c r="P1535" s="62">
        <f>4464286-4464286</f>
        <v>0</v>
      </c>
      <c r="Q1535" s="5" t="s">
        <v>519</v>
      </c>
      <c r="R1535" s="6" t="s">
        <v>770</v>
      </c>
      <c r="S1535" s="38" t="s">
        <v>1179</v>
      </c>
      <c r="T1535" s="6">
        <v>0</v>
      </c>
    </row>
    <row r="1536" spans="1:20" s="1" customFormat="1" ht="89.25">
      <c r="A1536" s="3"/>
      <c r="B1536" s="6">
        <v>1520</v>
      </c>
      <c r="C1536" s="16" t="s">
        <v>714</v>
      </c>
      <c r="D1536" s="38" t="s">
        <v>601</v>
      </c>
      <c r="E1536" s="38" t="s">
        <v>1450</v>
      </c>
      <c r="F1536" s="93" t="s">
        <v>1976</v>
      </c>
      <c r="G1536" s="93" t="s">
        <v>1451</v>
      </c>
      <c r="H1536" s="93" t="s">
        <v>1975</v>
      </c>
      <c r="I1536" s="93" t="s">
        <v>1452</v>
      </c>
      <c r="J1536" s="93" t="s">
        <v>2319</v>
      </c>
      <c r="K1536" s="93" t="s">
        <v>298</v>
      </c>
      <c r="L1536" s="93" t="s">
        <v>595</v>
      </c>
      <c r="M1536" s="12" t="s">
        <v>918</v>
      </c>
      <c r="N1536" s="26">
        <v>1</v>
      </c>
      <c r="O1536" s="57">
        <f t="shared" si="29"/>
        <v>0</v>
      </c>
      <c r="P1536" s="62">
        <f>1601631-1601631</f>
        <v>0</v>
      </c>
      <c r="Q1536" s="5" t="s">
        <v>519</v>
      </c>
      <c r="R1536" s="6" t="s">
        <v>770</v>
      </c>
      <c r="S1536" s="38" t="s">
        <v>1179</v>
      </c>
      <c r="T1536" s="6">
        <v>30</v>
      </c>
    </row>
    <row r="1537" spans="1:20" s="1" customFormat="1" ht="165.75">
      <c r="A1537" s="3"/>
      <c r="B1537" s="6">
        <v>1521</v>
      </c>
      <c r="C1537" s="16" t="s">
        <v>714</v>
      </c>
      <c r="D1537" s="38" t="s">
        <v>601</v>
      </c>
      <c r="E1537" s="38" t="s">
        <v>946</v>
      </c>
      <c r="F1537" s="93" t="s">
        <v>1159</v>
      </c>
      <c r="G1537" s="93" t="s">
        <v>947</v>
      </c>
      <c r="H1537" s="93" t="s">
        <v>1977</v>
      </c>
      <c r="I1537" s="93" t="s">
        <v>948</v>
      </c>
      <c r="J1537" s="93" t="s">
        <v>2320</v>
      </c>
      <c r="K1537" s="93" t="s">
        <v>299</v>
      </c>
      <c r="L1537" s="93" t="s">
        <v>1490</v>
      </c>
      <c r="M1537" s="12" t="s">
        <v>918</v>
      </c>
      <c r="N1537" s="26">
        <v>1</v>
      </c>
      <c r="O1537" s="57">
        <f t="shared" si="29"/>
        <v>0</v>
      </c>
      <c r="P1537" s="62">
        <f>56320532-56320532</f>
        <v>0</v>
      </c>
      <c r="Q1537" s="5" t="s">
        <v>519</v>
      </c>
      <c r="R1537" s="6" t="s">
        <v>770</v>
      </c>
      <c r="S1537" s="38" t="s">
        <v>1179</v>
      </c>
      <c r="T1537" s="6">
        <v>0</v>
      </c>
    </row>
    <row r="1538" spans="1:20" s="1" customFormat="1" ht="51">
      <c r="A1538" s="3"/>
      <c r="B1538" s="6">
        <v>1522</v>
      </c>
      <c r="C1538" s="16" t="s">
        <v>714</v>
      </c>
      <c r="D1538" s="38" t="s">
        <v>601</v>
      </c>
      <c r="E1538" s="38" t="s">
        <v>596</v>
      </c>
      <c r="F1538" s="93" t="s">
        <v>597</v>
      </c>
      <c r="G1538" s="93" t="s">
        <v>598</v>
      </c>
      <c r="H1538" s="93" t="s">
        <v>599</v>
      </c>
      <c r="I1538" s="93" t="s">
        <v>600</v>
      </c>
      <c r="J1538" s="93" t="s">
        <v>2321</v>
      </c>
      <c r="K1538" s="93" t="s">
        <v>308</v>
      </c>
      <c r="L1538" s="93" t="s">
        <v>595</v>
      </c>
      <c r="M1538" s="12" t="s">
        <v>918</v>
      </c>
      <c r="N1538" s="26">
        <v>1</v>
      </c>
      <c r="O1538" s="57">
        <f t="shared" si="29"/>
        <v>0</v>
      </c>
      <c r="P1538" s="62">
        <f>2232143-2232143</f>
        <v>0</v>
      </c>
      <c r="Q1538" s="5" t="s">
        <v>519</v>
      </c>
      <c r="R1538" s="6" t="s">
        <v>770</v>
      </c>
      <c r="S1538" s="38" t="s">
        <v>1179</v>
      </c>
      <c r="T1538" s="6">
        <v>30</v>
      </c>
    </row>
    <row r="1539" spans="1:20" s="1" customFormat="1" ht="63.75">
      <c r="A1539" s="3"/>
      <c r="B1539" s="6">
        <v>1523</v>
      </c>
      <c r="C1539" s="16" t="s">
        <v>714</v>
      </c>
      <c r="D1539" s="38" t="s">
        <v>601</v>
      </c>
      <c r="E1539" s="38" t="s">
        <v>1453</v>
      </c>
      <c r="F1539" s="93" t="s">
        <v>1966</v>
      </c>
      <c r="G1539" s="93" t="s">
        <v>1454</v>
      </c>
      <c r="H1539" s="93" t="s">
        <v>1967</v>
      </c>
      <c r="I1539" s="93" t="s">
        <v>1455</v>
      </c>
      <c r="J1539" s="93" t="s">
        <v>1978</v>
      </c>
      <c r="K1539" s="93" t="s">
        <v>300</v>
      </c>
      <c r="L1539" s="93" t="s">
        <v>1490</v>
      </c>
      <c r="M1539" s="12" t="s">
        <v>918</v>
      </c>
      <c r="N1539" s="26">
        <v>1</v>
      </c>
      <c r="O1539" s="57">
        <f t="shared" si="29"/>
        <v>0</v>
      </c>
      <c r="P1539" s="62">
        <f>9285714-9285714</f>
        <v>0</v>
      </c>
      <c r="Q1539" s="5" t="s">
        <v>519</v>
      </c>
      <c r="R1539" s="6" t="s">
        <v>770</v>
      </c>
      <c r="S1539" s="38" t="s">
        <v>1179</v>
      </c>
      <c r="T1539" s="6">
        <v>0</v>
      </c>
    </row>
    <row r="1540" spans="1:20" s="1" customFormat="1" ht="63.75">
      <c r="A1540" s="3"/>
      <c r="B1540" s="6">
        <v>1524</v>
      </c>
      <c r="C1540" s="16" t="s">
        <v>714</v>
      </c>
      <c r="D1540" s="38" t="s">
        <v>601</v>
      </c>
      <c r="E1540" s="38" t="s">
        <v>1450</v>
      </c>
      <c r="F1540" s="93" t="s">
        <v>1976</v>
      </c>
      <c r="G1540" s="93" t="s">
        <v>1451</v>
      </c>
      <c r="H1540" s="93" t="s">
        <v>1975</v>
      </c>
      <c r="I1540" s="93" t="s">
        <v>1456</v>
      </c>
      <c r="J1540" s="93" t="s">
        <v>1979</v>
      </c>
      <c r="K1540" s="93" t="s">
        <v>301</v>
      </c>
      <c r="L1540" s="93" t="s">
        <v>595</v>
      </c>
      <c r="M1540" s="12" t="s">
        <v>918</v>
      </c>
      <c r="N1540" s="26">
        <v>1</v>
      </c>
      <c r="O1540" s="57">
        <f t="shared" si="29"/>
        <v>0</v>
      </c>
      <c r="P1540" s="62">
        <f>1785714-1785714</f>
        <v>0</v>
      </c>
      <c r="Q1540" s="5" t="s">
        <v>519</v>
      </c>
      <c r="R1540" s="6" t="s">
        <v>770</v>
      </c>
      <c r="S1540" s="38" t="s">
        <v>1179</v>
      </c>
      <c r="T1540" s="6">
        <v>30</v>
      </c>
    </row>
    <row r="1541" spans="1:20" s="1" customFormat="1" ht="204">
      <c r="A1541" s="3"/>
      <c r="B1541" s="6">
        <v>1525</v>
      </c>
      <c r="C1541" s="16" t="s">
        <v>714</v>
      </c>
      <c r="D1541" s="38" t="s">
        <v>601</v>
      </c>
      <c r="E1541" s="38" t="s">
        <v>1457</v>
      </c>
      <c r="F1541" s="93" t="s">
        <v>1981</v>
      </c>
      <c r="G1541" s="93" t="s">
        <v>1458</v>
      </c>
      <c r="H1541" s="93" t="s">
        <v>1982</v>
      </c>
      <c r="I1541" s="93" t="s">
        <v>1459</v>
      </c>
      <c r="J1541" s="93" t="s">
        <v>1980</v>
      </c>
      <c r="K1541" s="93" t="s">
        <v>302</v>
      </c>
      <c r="L1541" s="93" t="s">
        <v>595</v>
      </c>
      <c r="M1541" s="12" t="s">
        <v>918</v>
      </c>
      <c r="N1541" s="26">
        <v>1</v>
      </c>
      <c r="O1541" s="57">
        <f t="shared" si="29"/>
        <v>0</v>
      </c>
      <c r="P1541" s="62">
        <f>625000-625000</f>
        <v>0</v>
      </c>
      <c r="Q1541" s="5" t="s">
        <v>616</v>
      </c>
      <c r="R1541" s="6" t="s">
        <v>770</v>
      </c>
      <c r="S1541" s="38" t="s">
        <v>1179</v>
      </c>
      <c r="T1541" s="6">
        <v>30</v>
      </c>
    </row>
    <row r="1542" spans="1:20" s="1" customFormat="1" ht="51">
      <c r="A1542" s="3"/>
      <c r="B1542" s="6">
        <v>1526</v>
      </c>
      <c r="C1542" s="16" t="s">
        <v>714</v>
      </c>
      <c r="D1542" s="38" t="s">
        <v>601</v>
      </c>
      <c r="E1542" s="38" t="s">
        <v>1460</v>
      </c>
      <c r="F1542" s="93" t="s">
        <v>1983</v>
      </c>
      <c r="G1542" s="93" t="s">
        <v>1461</v>
      </c>
      <c r="H1542" s="93" t="s">
        <v>1984</v>
      </c>
      <c r="I1542" s="93" t="s">
        <v>1462</v>
      </c>
      <c r="J1542" s="93" t="s">
        <v>2668</v>
      </c>
      <c r="K1542" s="93" t="s">
        <v>303</v>
      </c>
      <c r="L1542" s="93" t="s">
        <v>1490</v>
      </c>
      <c r="M1542" s="12" t="s">
        <v>918</v>
      </c>
      <c r="N1542" s="26">
        <v>1</v>
      </c>
      <c r="O1542" s="57">
        <f t="shared" si="29"/>
        <v>0</v>
      </c>
      <c r="P1542" s="62">
        <f>13337025-13337025</f>
        <v>0</v>
      </c>
      <c r="Q1542" s="6" t="s">
        <v>519</v>
      </c>
      <c r="R1542" s="6" t="s">
        <v>770</v>
      </c>
      <c r="S1542" s="38" t="s">
        <v>1179</v>
      </c>
      <c r="T1542" s="6">
        <v>0</v>
      </c>
    </row>
    <row r="1543" spans="1:20" s="1" customFormat="1" ht="102">
      <c r="A1543" s="3"/>
      <c r="B1543" s="6">
        <v>1527</v>
      </c>
      <c r="C1543" s="16" t="s">
        <v>714</v>
      </c>
      <c r="D1543" s="38" t="s">
        <v>601</v>
      </c>
      <c r="E1543" s="38" t="s">
        <v>1373</v>
      </c>
      <c r="F1543" s="93" t="s">
        <v>1985</v>
      </c>
      <c r="G1543" s="93" t="s">
        <v>1374</v>
      </c>
      <c r="H1543" s="93" t="s">
        <v>1986</v>
      </c>
      <c r="I1543" s="93" t="s">
        <v>1375</v>
      </c>
      <c r="J1543" s="93" t="s">
        <v>3006</v>
      </c>
      <c r="K1543" s="93" t="s">
        <v>304</v>
      </c>
      <c r="L1543" s="93" t="s">
        <v>595</v>
      </c>
      <c r="M1543" s="12" t="s">
        <v>918</v>
      </c>
      <c r="N1543" s="26">
        <v>1</v>
      </c>
      <c r="O1543" s="57">
        <f t="shared" si="29"/>
        <v>5131728</v>
      </c>
      <c r="P1543" s="62">
        <f>2678571+453157+2000000</f>
        <v>5131728</v>
      </c>
      <c r="Q1543" s="5" t="s">
        <v>505</v>
      </c>
      <c r="R1543" s="6" t="s">
        <v>770</v>
      </c>
      <c r="S1543" s="38" t="s">
        <v>1179</v>
      </c>
      <c r="T1543" s="6">
        <v>50</v>
      </c>
    </row>
    <row r="1544" spans="1:20" s="1" customFormat="1" ht="51">
      <c r="A1544" s="3"/>
      <c r="B1544" s="6">
        <v>1528</v>
      </c>
      <c r="C1544" s="16" t="s">
        <v>714</v>
      </c>
      <c r="D1544" s="38" t="s">
        <v>601</v>
      </c>
      <c r="E1544" s="38" t="s">
        <v>1264</v>
      </c>
      <c r="F1544" s="93" t="s">
        <v>1987</v>
      </c>
      <c r="G1544" s="93" t="s">
        <v>1265</v>
      </c>
      <c r="H1544" s="93" t="s">
        <v>1987</v>
      </c>
      <c r="I1544" s="93" t="s">
        <v>1265</v>
      </c>
      <c r="J1544" s="93" t="s">
        <v>1988</v>
      </c>
      <c r="K1544" s="93" t="s">
        <v>309</v>
      </c>
      <c r="L1544" s="93" t="s">
        <v>1490</v>
      </c>
      <c r="M1544" s="12" t="s">
        <v>918</v>
      </c>
      <c r="N1544" s="26">
        <v>1</v>
      </c>
      <c r="O1544" s="57">
        <f t="shared" si="29"/>
        <v>0</v>
      </c>
      <c r="P1544" s="62">
        <f>13482193-13482193</f>
        <v>0</v>
      </c>
      <c r="Q1544" s="5" t="s">
        <v>505</v>
      </c>
      <c r="R1544" s="6" t="s">
        <v>770</v>
      </c>
      <c r="S1544" s="38" t="s">
        <v>1179</v>
      </c>
      <c r="T1544" s="6">
        <v>0</v>
      </c>
    </row>
    <row r="1545" spans="1:20" s="1" customFormat="1" ht="102">
      <c r="A1545" s="3"/>
      <c r="B1545" s="6">
        <v>1529</v>
      </c>
      <c r="C1545" s="16" t="s">
        <v>714</v>
      </c>
      <c r="D1545" s="38" t="s">
        <v>601</v>
      </c>
      <c r="E1545" s="38" t="s">
        <v>1457</v>
      </c>
      <c r="F1545" s="93" t="s">
        <v>1981</v>
      </c>
      <c r="G1545" s="93" t="s">
        <v>1458</v>
      </c>
      <c r="H1545" s="93" t="s">
        <v>1982</v>
      </c>
      <c r="I1545" s="93" t="s">
        <v>1459</v>
      </c>
      <c r="J1545" s="93" t="s">
        <v>1989</v>
      </c>
      <c r="K1545" s="93" t="s">
        <v>305</v>
      </c>
      <c r="L1545" s="93" t="s">
        <v>595</v>
      </c>
      <c r="M1545" s="12" t="s">
        <v>918</v>
      </c>
      <c r="N1545" s="26">
        <v>1</v>
      </c>
      <c r="O1545" s="57">
        <f t="shared" si="29"/>
        <v>0</v>
      </c>
      <c r="P1545" s="62">
        <f>714286+309230-1023516</f>
        <v>0</v>
      </c>
      <c r="Q1545" s="5" t="s">
        <v>616</v>
      </c>
      <c r="R1545" s="6" t="s">
        <v>770</v>
      </c>
      <c r="S1545" s="38" t="s">
        <v>1179</v>
      </c>
      <c r="T1545" s="6">
        <v>30</v>
      </c>
    </row>
    <row r="1546" spans="1:20" s="1" customFormat="1" ht="114.75">
      <c r="A1546" s="3"/>
      <c r="B1546" s="6">
        <v>1530</v>
      </c>
      <c r="C1546" s="16" t="s">
        <v>714</v>
      </c>
      <c r="D1546" s="38" t="s">
        <v>601</v>
      </c>
      <c r="E1546" s="38" t="s">
        <v>1444</v>
      </c>
      <c r="F1546" s="93" t="s">
        <v>1969</v>
      </c>
      <c r="G1546" s="93" t="s">
        <v>1445</v>
      </c>
      <c r="H1546" s="93" t="s">
        <v>1970</v>
      </c>
      <c r="I1546" s="93" t="s">
        <v>1446</v>
      </c>
      <c r="J1546" s="93" t="s">
        <v>2791</v>
      </c>
      <c r="K1546" s="93" t="s">
        <v>2790</v>
      </c>
      <c r="L1546" s="93" t="s">
        <v>595</v>
      </c>
      <c r="M1546" s="12" t="s">
        <v>918</v>
      </c>
      <c r="N1546" s="26">
        <v>1</v>
      </c>
      <c r="O1546" s="57">
        <f t="shared" si="29"/>
        <v>36400000</v>
      </c>
      <c r="P1546" s="62">
        <f>40375000-3975000</f>
        <v>36400000</v>
      </c>
      <c r="Q1546" s="5" t="s">
        <v>616</v>
      </c>
      <c r="R1546" s="6" t="s">
        <v>770</v>
      </c>
      <c r="S1546" s="38" t="s">
        <v>1179</v>
      </c>
      <c r="T1546" s="6">
        <v>50</v>
      </c>
    </row>
    <row r="1547" spans="1:20" s="1" customFormat="1" ht="89.25">
      <c r="A1547" s="3"/>
      <c r="B1547" s="6">
        <v>1531</v>
      </c>
      <c r="C1547" s="16" t="s">
        <v>714</v>
      </c>
      <c r="D1547" s="38" t="s">
        <v>601</v>
      </c>
      <c r="E1547" s="38" t="s">
        <v>528</v>
      </c>
      <c r="F1547" s="70" t="s">
        <v>1963</v>
      </c>
      <c r="G1547" s="70" t="s">
        <v>529</v>
      </c>
      <c r="H1547" s="70" t="s">
        <v>1964</v>
      </c>
      <c r="I1547" s="70" t="s">
        <v>530</v>
      </c>
      <c r="J1547" s="70" t="s">
        <v>2400</v>
      </c>
      <c r="K1547" s="70" t="s">
        <v>2401</v>
      </c>
      <c r="L1547" s="70" t="s">
        <v>1490</v>
      </c>
      <c r="M1547" s="12" t="s">
        <v>918</v>
      </c>
      <c r="N1547" s="26">
        <v>1</v>
      </c>
      <c r="O1547" s="57">
        <v>18624107</v>
      </c>
      <c r="P1547" s="62">
        <f t="shared" ref="P1547" si="30">N1547*O1547</f>
        <v>18624107</v>
      </c>
      <c r="Q1547" s="6" t="s">
        <v>397</v>
      </c>
      <c r="R1547" s="6" t="s">
        <v>770</v>
      </c>
      <c r="S1547" s="38" t="s">
        <v>2030</v>
      </c>
      <c r="T1547" s="6">
        <v>0</v>
      </c>
    </row>
    <row r="1548" spans="1:20" s="1" customFormat="1" ht="102">
      <c r="A1548" s="3"/>
      <c r="B1548" s="6">
        <v>1532</v>
      </c>
      <c r="C1548" s="16" t="s">
        <v>714</v>
      </c>
      <c r="D1548" s="38" t="s">
        <v>601</v>
      </c>
      <c r="E1548" s="38" t="s">
        <v>1373</v>
      </c>
      <c r="F1548" s="70" t="s">
        <v>1985</v>
      </c>
      <c r="G1548" s="70" t="s">
        <v>1374</v>
      </c>
      <c r="H1548" s="70" t="s">
        <v>1986</v>
      </c>
      <c r="I1548" s="70" t="s">
        <v>973</v>
      </c>
      <c r="J1548" s="70" t="s">
        <v>2789</v>
      </c>
      <c r="K1548" s="70" t="s">
        <v>117</v>
      </c>
      <c r="L1548" s="70" t="s">
        <v>595</v>
      </c>
      <c r="M1548" s="12" t="s">
        <v>918</v>
      </c>
      <c r="N1548" s="26">
        <v>1</v>
      </c>
      <c r="O1548" s="57">
        <f>P1548/N1548</f>
        <v>2302706</v>
      </c>
      <c r="P1548" s="62">
        <f>5080358-2777652</f>
        <v>2302706</v>
      </c>
      <c r="Q1548" s="5" t="s">
        <v>505</v>
      </c>
      <c r="R1548" s="6" t="s">
        <v>770</v>
      </c>
      <c r="S1548" s="38" t="s">
        <v>1179</v>
      </c>
      <c r="T1548" s="6">
        <v>30</v>
      </c>
    </row>
    <row r="1549" spans="1:20" s="1" customFormat="1" ht="102">
      <c r="A1549" s="3"/>
      <c r="B1549" s="6">
        <v>1533</v>
      </c>
      <c r="C1549" s="16" t="s">
        <v>714</v>
      </c>
      <c r="D1549" s="38" t="s">
        <v>601</v>
      </c>
      <c r="E1549" s="38" t="s">
        <v>1272</v>
      </c>
      <c r="F1549" s="70" t="s">
        <v>1874</v>
      </c>
      <c r="G1549" s="70" t="s">
        <v>1273</v>
      </c>
      <c r="H1549" s="70" t="s">
        <v>1874</v>
      </c>
      <c r="I1549" s="70" t="s">
        <v>1274</v>
      </c>
      <c r="J1549" s="70" t="s">
        <v>2322</v>
      </c>
      <c r="K1549" s="70" t="s">
        <v>310</v>
      </c>
      <c r="L1549" s="70" t="s">
        <v>595</v>
      </c>
      <c r="M1549" s="12" t="s">
        <v>918</v>
      </c>
      <c r="N1549" s="26">
        <v>1</v>
      </c>
      <c r="O1549" s="57">
        <v>214286</v>
      </c>
      <c r="P1549" s="62">
        <f t="shared" ref="P1549:P1578" si="31">N1549*O1549</f>
        <v>214286</v>
      </c>
      <c r="Q1549" s="5" t="s">
        <v>395</v>
      </c>
      <c r="R1549" s="6" t="s">
        <v>770</v>
      </c>
      <c r="S1549" s="38" t="s">
        <v>1179</v>
      </c>
      <c r="T1549" s="6">
        <v>30</v>
      </c>
    </row>
    <row r="1550" spans="1:20" s="1" customFormat="1" ht="63.75">
      <c r="A1550" s="3"/>
      <c r="B1550" s="6">
        <v>1534</v>
      </c>
      <c r="C1550" s="16" t="s">
        <v>714</v>
      </c>
      <c r="D1550" s="38" t="s">
        <v>601</v>
      </c>
      <c r="E1550" s="38" t="s">
        <v>1343</v>
      </c>
      <c r="F1550" s="70" t="s">
        <v>1992</v>
      </c>
      <c r="G1550" s="70" t="s">
        <v>1344</v>
      </c>
      <c r="H1550" s="70" t="s">
        <v>1993</v>
      </c>
      <c r="I1550" s="70" t="s">
        <v>1345</v>
      </c>
      <c r="J1550" s="70" t="s">
        <v>1994</v>
      </c>
      <c r="K1550" s="70" t="s">
        <v>311</v>
      </c>
      <c r="L1550" s="70" t="s">
        <v>1489</v>
      </c>
      <c r="M1550" s="12" t="s">
        <v>918</v>
      </c>
      <c r="N1550" s="26">
        <v>1</v>
      </c>
      <c r="O1550" s="57">
        <v>4285714</v>
      </c>
      <c r="P1550" s="62">
        <f t="shared" si="31"/>
        <v>4285714</v>
      </c>
      <c r="Q1550" s="5" t="s">
        <v>395</v>
      </c>
      <c r="R1550" s="6" t="s">
        <v>770</v>
      </c>
      <c r="S1550" s="38" t="s">
        <v>1179</v>
      </c>
      <c r="T1550" s="6">
        <v>0</v>
      </c>
    </row>
    <row r="1551" spans="1:20" s="1" customFormat="1" ht="51">
      <c r="A1551" s="3"/>
      <c r="B1551" s="6">
        <v>1535</v>
      </c>
      <c r="C1551" s="16" t="s">
        <v>714</v>
      </c>
      <c r="D1551" s="38" t="s">
        <v>601</v>
      </c>
      <c r="E1551" s="38" t="s">
        <v>1343</v>
      </c>
      <c r="F1551" s="70" t="s">
        <v>1992</v>
      </c>
      <c r="G1551" s="70" t="s">
        <v>1344</v>
      </c>
      <c r="H1551" s="70" t="s">
        <v>1993</v>
      </c>
      <c r="I1551" s="70" t="s">
        <v>1345</v>
      </c>
      <c r="J1551" s="70" t="s">
        <v>1995</v>
      </c>
      <c r="K1551" s="70" t="s">
        <v>312</v>
      </c>
      <c r="L1551" s="70" t="s">
        <v>1489</v>
      </c>
      <c r="M1551" s="12" t="s">
        <v>918</v>
      </c>
      <c r="N1551" s="26">
        <v>1</v>
      </c>
      <c r="O1551" s="57">
        <v>4285714</v>
      </c>
      <c r="P1551" s="62">
        <f t="shared" si="31"/>
        <v>4285714</v>
      </c>
      <c r="Q1551" s="5" t="s">
        <v>395</v>
      </c>
      <c r="R1551" s="6" t="s">
        <v>770</v>
      </c>
      <c r="S1551" s="38" t="s">
        <v>1179</v>
      </c>
      <c r="T1551" s="6">
        <v>0</v>
      </c>
    </row>
    <row r="1552" spans="1:20" s="1" customFormat="1" ht="76.5">
      <c r="A1552" s="3"/>
      <c r="B1552" s="6">
        <v>1536</v>
      </c>
      <c r="C1552" s="16" t="s">
        <v>714</v>
      </c>
      <c r="D1552" s="38" t="s">
        <v>601</v>
      </c>
      <c r="E1552" s="38" t="s">
        <v>1463</v>
      </c>
      <c r="F1552" s="70" t="s">
        <v>1997</v>
      </c>
      <c r="G1552" s="70" t="s">
        <v>1464</v>
      </c>
      <c r="H1552" s="70" t="s">
        <v>1996</v>
      </c>
      <c r="I1552" s="70" t="s">
        <v>1465</v>
      </c>
      <c r="J1552" s="70" t="s">
        <v>1998</v>
      </c>
      <c r="K1552" s="70" t="s">
        <v>313</v>
      </c>
      <c r="L1552" s="70" t="s">
        <v>595</v>
      </c>
      <c r="M1552" s="12" t="s">
        <v>918</v>
      </c>
      <c r="N1552" s="26">
        <v>1</v>
      </c>
      <c r="O1552" s="57">
        <v>3214286</v>
      </c>
      <c r="P1552" s="62">
        <f t="shared" si="31"/>
        <v>3214286</v>
      </c>
      <c r="Q1552" s="5" t="s">
        <v>395</v>
      </c>
      <c r="R1552" s="6" t="s">
        <v>770</v>
      </c>
      <c r="S1552" s="38" t="s">
        <v>1179</v>
      </c>
      <c r="T1552" s="6">
        <v>0</v>
      </c>
    </row>
    <row r="1553" spans="1:20" s="1" customFormat="1" ht="51">
      <c r="A1553" s="3"/>
      <c r="B1553" s="6">
        <v>1537</v>
      </c>
      <c r="C1553" s="16" t="s">
        <v>714</v>
      </c>
      <c r="D1553" s="38" t="s">
        <v>601</v>
      </c>
      <c r="E1553" s="38" t="s">
        <v>1466</v>
      </c>
      <c r="F1553" s="70" t="s">
        <v>1822</v>
      </c>
      <c r="G1553" s="70" t="s">
        <v>1467</v>
      </c>
      <c r="H1553" s="70" t="s">
        <v>1823</v>
      </c>
      <c r="I1553" s="70" t="s">
        <v>1468</v>
      </c>
      <c r="J1553" s="70" t="s">
        <v>1999</v>
      </c>
      <c r="K1553" s="70" t="s">
        <v>314</v>
      </c>
      <c r="L1553" s="70" t="s">
        <v>595</v>
      </c>
      <c r="M1553" s="12" t="s">
        <v>918</v>
      </c>
      <c r="N1553" s="26">
        <v>1</v>
      </c>
      <c r="O1553" s="57">
        <v>803571</v>
      </c>
      <c r="P1553" s="62">
        <f t="shared" si="31"/>
        <v>803571</v>
      </c>
      <c r="Q1553" s="5" t="s">
        <v>519</v>
      </c>
      <c r="R1553" s="6" t="s">
        <v>770</v>
      </c>
      <c r="S1553" s="38" t="s">
        <v>1179</v>
      </c>
      <c r="T1553" s="6">
        <v>30</v>
      </c>
    </row>
    <row r="1554" spans="1:20" s="1" customFormat="1" ht="76.5">
      <c r="A1554" s="3"/>
      <c r="B1554" s="6">
        <v>1538</v>
      </c>
      <c r="C1554" s="16" t="s">
        <v>714</v>
      </c>
      <c r="D1554" s="38" t="s">
        <v>601</v>
      </c>
      <c r="E1554" s="38" t="s">
        <v>1463</v>
      </c>
      <c r="F1554" s="70" t="s">
        <v>1997</v>
      </c>
      <c r="G1554" s="70" t="s">
        <v>1464</v>
      </c>
      <c r="H1554" s="70" t="s">
        <v>1996</v>
      </c>
      <c r="I1554" s="70" t="s">
        <v>1465</v>
      </c>
      <c r="J1554" s="70" t="s">
        <v>2000</v>
      </c>
      <c r="K1554" s="70" t="s">
        <v>315</v>
      </c>
      <c r="L1554" s="70" t="s">
        <v>595</v>
      </c>
      <c r="M1554" s="12" t="s">
        <v>918</v>
      </c>
      <c r="N1554" s="26">
        <v>1</v>
      </c>
      <c r="O1554" s="57">
        <v>3214286</v>
      </c>
      <c r="P1554" s="62">
        <f t="shared" si="31"/>
        <v>3214286</v>
      </c>
      <c r="Q1554" s="5" t="s">
        <v>395</v>
      </c>
      <c r="R1554" s="6" t="s">
        <v>770</v>
      </c>
      <c r="S1554" s="38" t="s">
        <v>1179</v>
      </c>
      <c r="T1554" s="6">
        <v>50</v>
      </c>
    </row>
    <row r="1555" spans="1:20" s="14" customFormat="1" ht="63.75">
      <c r="A1555" s="2"/>
      <c r="B1555" s="6">
        <v>1539</v>
      </c>
      <c r="C1555" s="16" t="s">
        <v>714</v>
      </c>
      <c r="D1555" s="38" t="s">
        <v>601</v>
      </c>
      <c r="E1555" s="38" t="s">
        <v>1341</v>
      </c>
      <c r="F1555" s="70" t="s">
        <v>1953</v>
      </c>
      <c r="G1555" s="70" t="s">
        <v>513</v>
      </c>
      <c r="H1555" s="70" t="s">
        <v>2001</v>
      </c>
      <c r="I1555" s="70" t="s">
        <v>1342</v>
      </c>
      <c r="J1555" s="70" t="s">
        <v>2323</v>
      </c>
      <c r="K1555" s="70" t="s">
        <v>51</v>
      </c>
      <c r="L1555" s="70" t="s">
        <v>1489</v>
      </c>
      <c r="M1555" s="12" t="s">
        <v>918</v>
      </c>
      <c r="N1555" s="26">
        <v>1</v>
      </c>
      <c r="O1555" s="57">
        <v>5721179</v>
      </c>
      <c r="P1555" s="62">
        <f t="shared" si="31"/>
        <v>5721179</v>
      </c>
      <c r="Q1555" s="6" t="s">
        <v>505</v>
      </c>
      <c r="R1555" s="6" t="s">
        <v>1480</v>
      </c>
      <c r="S1555" s="38" t="s">
        <v>1179</v>
      </c>
      <c r="T1555" s="6">
        <v>10</v>
      </c>
    </row>
    <row r="1556" spans="1:20" s="14" customFormat="1" ht="51">
      <c r="A1556" s="2"/>
      <c r="B1556" s="6">
        <v>1540</v>
      </c>
      <c r="C1556" s="16" t="s">
        <v>714</v>
      </c>
      <c r="D1556" s="38" t="s">
        <v>601</v>
      </c>
      <c r="E1556" s="38" t="s">
        <v>1343</v>
      </c>
      <c r="F1556" s="70" t="s">
        <v>1992</v>
      </c>
      <c r="G1556" s="70" t="s">
        <v>1344</v>
      </c>
      <c r="H1556" s="70" t="s">
        <v>1993</v>
      </c>
      <c r="I1556" s="70" t="s">
        <v>1345</v>
      </c>
      <c r="J1556" s="70" t="s">
        <v>2002</v>
      </c>
      <c r="K1556" s="70" t="s">
        <v>38</v>
      </c>
      <c r="L1556" s="70" t="s">
        <v>595</v>
      </c>
      <c r="M1556" s="12" t="s">
        <v>918</v>
      </c>
      <c r="N1556" s="26">
        <v>1</v>
      </c>
      <c r="O1556" s="57">
        <v>1250000</v>
      </c>
      <c r="P1556" s="62">
        <f t="shared" si="31"/>
        <v>1250000</v>
      </c>
      <c r="Q1556" s="6" t="s">
        <v>397</v>
      </c>
      <c r="R1556" s="6" t="s">
        <v>770</v>
      </c>
      <c r="S1556" s="38" t="s">
        <v>1179</v>
      </c>
      <c r="T1556" s="6">
        <v>0</v>
      </c>
    </row>
    <row r="1557" spans="1:20" s="141" customFormat="1" ht="89.25">
      <c r="A1557" s="50"/>
      <c r="B1557" s="6">
        <v>1541</v>
      </c>
      <c r="C1557" s="16" t="s">
        <v>714</v>
      </c>
      <c r="D1557" s="38" t="s">
        <v>601</v>
      </c>
      <c r="E1557" s="38" t="s">
        <v>970</v>
      </c>
      <c r="F1557" s="70" t="s">
        <v>1961</v>
      </c>
      <c r="G1557" s="70" t="s">
        <v>920</v>
      </c>
      <c r="H1557" s="70" t="s">
        <v>1841</v>
      </c>
      <c r="I1557" s="70" t="s">
        <v>971</v>
      </c>
      <c r="J1557" s="70" t="s">
        <v>2003</v>
      </c>
      <c r="K1557" s="70" t="s">
        <v>316</v>
      </c>
      <c r="L1557" s="70" t="s">
        <v>595</v>
      </c>
      <c r="M1557" s="12" t="s">
        <v>918</v>
      </c>
      <c r="N1557" s="26">
        <v>1</v>
      </c>
      <c r="O1557" s="57">
        <f>P1557/N1557</f>
        <v>0</v>
      </c>
      <c r="P1557" s="62">
        <f>781250-781250</f>
        <v>0</v>
      </c>
      <c r="Q1557" s="49" t="s">
        <v>616</v>
      </c>
      <c r="R1557" s="49" t="s">
        <v>505</v>
      </c>
      <c r="S1557" s="38" t="s">
        <v>1179</v>
      </c>
      <c r="T1557" s="49">
        <v>30</v>
      </c>
    </row>
    <row r="1558" spans="1:20" s="1" customFormat="1" ht="102">
      <c r="A1558" s="3"/>
      <c r="B1558" s="6">
        <v>1542</v>
      </c>
      <c r="C1558" s="16" t="s">
        <v>714</v>
      </c>
      <c r="D1558" s="38" t="s">
        <v>601</v>
      </c>
      <c r="E1558" s="38" t="s">
        <v>1373</v>
      </c>
      <c r="F1558" s="70" t="s">
        <v>1985</v>
      </c>
      <c r="G1558" s="70" t="s">
        <v>1374</v>
      </c>
      <c r="H1558" s="70" t="s">
        <v>1986</v>
      </c>
      <c r="I1558" s="70" t="s">
        <v>1375</v>
      </c>
      <c r="J1558" s="70" t="s">
        <v>2981</v>
      </c>
      <c r="K1558" s="70" t="s">
        <v>1497</v>
      </c>
      <c r="L1558" s="70" t="s">
        <v>1490</v>
      </c>
      <c r="M1558" s="12" t="s">
        <v>918</v>
      </c>
      <c r="N1558" s="26">
        <v>1</v>
      </c>
      <c r="O1558" s="57">
        <v>9482143</v>
      </c>
      <c r="P1558" s="62">
        <f t="shared" si="31"/>
        <v>9482143</v>
      </c>
      <c r="Q1558" s="51" t="s">
        <v>702</v>
      </c>
      <c r="R1558" s="51" t="s">
        <v>1498</v>
      </c>
      <c r="S1558" s="38" t="s">
        <v>1179</v>
      </c>
      <c r="T1558" s="51">
        <v>30</v>
      </c>
    </row>
    <row r="1559" spans="1:20" s="1" customFormat="1" ht="76.5">
      <c r="A1559" s="3"/>
      <c r="B1559" s="6">
        <v>1543</v>
      </c>
      <c r="C1559" s="16" t="s">
        <v>714</v>
      </c>
      <c r="D1559" s="38" t="s">
        <v>601</v>
      </c>
      <c r="E1559" s="38" t="s">
        <v>1474</v>
      </c>
      <c r="F1559" s="38" t="s">
        <v>2366</v>
      </c>
      <c r="G1559" s="70" t="s">
        <v>2367</v>
      </c>
      <c r="H1559" s="38" t="s">
        <v>2368</v>
      </c>
      <c r="I1559" s="70" t="s">
        <v>1475</v>
      </c>
      <c r="J1559" s="49" t="s">
        <v>2369</v>
      </c>
      <c r="K1559" s="70" t="s">
        <v>1499</v>
      </c>
      <c r="L1559" s="70" t="s">
        <v>595</v>
      </c>
      <c r="M1559" s="12" t="s">
        <v>918</v>
      </c>
      <c r="N1559" s="26">
        <v>1</v>
      </c>
      <c r="O1559" s="57">
        <v>748393</v>
      </c>
      <c r="P1559" s="62">
        <f t="shared" si="31"/>
        <v>748393</v>
      </c>
      <c r="Q1559" s="49" t="s">
        <v>505</v>
      </c>
      <c r="R1559" s="49" t="s">
        <v>1496</v>
      </c>
      <c r="S1559" s="38" t="s">
        <v>1179</v>
      </c>
      <c r="T1559" s="49">
        <v>30</v>
      </c>
    </row>
    <row r="1560" spans="1:20" s="1" customFormat="1" ht="63.75">
      <c r="A1560" s="3"/>
      <c r="B1560" s="6">
        <v>1544</v>
      </c>
      <c r="C1560" s="16" t="s">
        <v>714</v>
      </c>
      <c r="D1560" s="38" t="s">
        <v>601</v>
      </c>
      <c r="E1560" s="38" t="s">
        <v>1500</v>
      </c>
      <c r="F1560" s="70" t="s">
        <v>2006</v>
      </c>
      <c r="G1560" s="70" t="s">
        <v>1501</v>
      </c>
      <c r="H1560" s="70" t="s">
        <v>2005</v>
      </c>
      <c r="I1560" s="70" t="s">
        <v>1502</v>
      </c>
      <c r="J1560" s="70" t="s">
        <v>2004</v>
      </c>
      <c r="K1560" s="70" t="s">
        <v>317</v>
      </c>
      <c r="L1560" s="70" t="s">
        <v>595</v>
      </c>
      <c r="M1560" s="12" t="s">
        <v>918</v>
      </c>
      <c r="N1560" s="26">
        <v>1</v>
      </c>
      <c r="O1560" s="57">
        <v>1339286</v>
      </c>
      <c r="P1560" s="62">
        <f t="shared" si="31"/>
        <v>1339286</v>
      </c>
      <c r="Q1560" s="49" t="s">
        <v>506</v>
      </c>
      <c r="R1560" s="49" t="s">
        <v>703</v>
      </c>
      <c r="S1560" s="38" t="s">
        <v>1179</v>
      </c>
      <c r="T1560" s="49">
        <v>30</v>
      </c>
    </row>
    <row r="1561" spans="1:20" s="14" customFormat="1" ht="63.75">
      <c r="B1561" s="6">
        <v>1545</v>
      </c>
      <c r="C1561" s="16" t="s">
        <v>714</v>
      </c>
      <c r="D1561" s="38" t="s">
        <v>601</v>
      </c>
      <c r="E1561" s="38" t="s">
        <v>593</v>
      </c>
      <c r="F1561" s="38" t="s">
        <v>2370</v>
      </c>
      <c r="G1561" s="38" t="s">
        <v>594</v>
      </c>
      <c r="H1561" s="38" t="s">
        <v>2371</v>
      </c>
      <c r="I1561" s="38" t="s">
        <v>594</v>
      </c>
      <c r="J1561" s="142" t="s">
        <v>2372</v>
      </c>
      <c r="K1561" s="38" t="s">
        <v>2373</v>
      </c>
      <c r="L1561" s="70" t="s">
        <v>595</v>
      </c>
      <c r="M1561" s="12" t="s">
        <v>918</v>
      </c>
      <c r="N1561" s="26">
        <v>1</v>
      </c>
      <c r="O1561" s="57">
        <f>P1561/N1561</f>
        <v>910604</v>
      </c>
      <c r="P1561" s="62">
        <f>1035203-124599</f>
        <v>910604</v>
      </c>
      <c r="Q1561" s="6" t="s">
        <v>505</v>
      </c>
      <c r="R1561" s="6" t="s">
        <v>770</v>
      </c>
      <c r="S1561" s="38" t="s">
        <v>2035</v>
      </c>
      <c r="T1561" s="26">
        <v>30</v>
      </c>
    </row>
    <row r="1562" spans="1:20" s="14" customFormat="1" ht="63.75">
      <c r="A1562" s="2"/>
      <c r="B1562" s="6">
        <v>1546</v>
      </c>
      <c r="C1562" s="16" t="s">
        <v>714</v>
      </c>
      <c r="D1562" s="38" t="s">
        <v>601</v>
      </c>
      <c r="E1562" s="38" t="s">
        <v>593</v>
      </c>
      <c r="F1562" s="38" t="s">
        <v>2370</v>
      </c>
      <c r="G1562" s="38" t="s">
        <v>594</v>
      </c>
      <c r="H1562" s="38" t="s">
        <v>2371</v>
      </c>
      <c r="I1562" s="38" t="s">
        <v>594</v>
      </c>
      <c r="J1562" s="142" t="s">
        <v>2372</v>
      </c>
      <c r="K1562" s="38" t="s">
        <v>2373</v>
      </c>
      <c r="L1562" s="70" t="s">
        <v>595</v>
      </c>
      <c r="M1562" s="12" t="s">
        <v>918</v>
      </c>
      <c r="N1562" s="26">
        <v>1</v>
      </c>
      <c r="O1562" s="57">
        <f>P1562/N1562</f>
        <v>1047793</v>
      </c>
      <c r="P1562" s="62">
        <f>1035203+12590</f>
        <v>1047793</v>
      </c>
      <c r="Q1562" s="6" t="s">
        <v>505</v>
      </c>
      <c r="R1562" s="6" t="s">
        <v>770</v>
      </c>
      <c r="S1562" s="38" t="s">
        <v>2030</v>
      </c>
      <c r="T1562" s="26">
        <v>30</v>
      </c>
    </row>
    <row r="1563" spans="1:20" s="14" customFormat="1" ht="63.75">
      <c r="A1563" s="2"/>
      <c r="B1563" s="6">
        <v>1547</v>
      </c>
      <c r="C1563" s="36" t="s">
        <v>714</v>
      </c>
      <c r="D1563" s="43" t="s">
        <v>601</v>
      </c>
      <c r="E1563" s="38" t="s">
        <v>593</v>
      </c>
      <c r="F1563" s="38" t="s">
        <v>2370</v>
      </c>
      <c r="G1563" s="38" t="s">
        <v>594</v>
      </c>
      <c r="H1563" s="38" t="s">
        <v>2371</v>
      </c>
      <c r="I1563" s="38" t="s">
        <v>594</v>
      </c>
      <c r="J1563" s="142" t="s">
        <v>2372</v>
      </c>
      <c r="K1563" s="38" t="s">
        <v>2373</v>
      </c>
      <c r="L1563" s="70" t="s">
        <v>595</v>
      </c>
      <c r="M1563" s="12" t="s">
        <v>918</v>
      </c>
      <c r="N1563" s="26">
        <v>1</v>
      </c>
      <c r="O1563" s="57">
        <f t="shared" ref="O1563:O1577" si="32">P1563/N1563</f>
        <v>1047793</v>
      </c>
      <c r="P1563" s="62">
        <f>1035203+12590</f>
        <v>1047793</v>
      </c>
      <c r="Q1563" s="6" t="s">
        <v>505</v>
      </c>
      <c r="R1563" s="6" t="s">
        <v>770</v>
      </c>
      <c r="S1563" s="38" t="s">
        <v>2038</v>
      </c>
      <c r="T1563" s="26">
        <v>30</v>
      </c>
    </row>
    <row r="1564" spans="1:20" s="14" customFormat="1" ht="63.75">
      <c r="A1564" s="2"/>
      <c r="B1564" s="6">
        <v>1548</v>
      </c>
      <c r="C1564" s="16" t="s">
        <v>714</v>
      </c>
      <c r="D1564" s="38" t="s">
        <v>601</v>
      </c>
      <c r="E1564" s="38" t="s">
        <v>593</v>
      </c>
      <c r="F1564" s="38" t="s">
        <v>2370</v>
      </c>
      <c r="G1564" s="38" t="s">
        <v>594</v>
      </c>
      <c r="H1564" s="38" t="s">
        <v>2371</v>
      </c>
      <c r="I1564" s="38" t="s">
        <v>594</v>
      </c>
      <c r="J1564" s="142" t="s">
        <v>2372</v>
      </c>
      <c r="K1564" s="38" t="s">
        <v>2373</v>
      </c>
      <c r="L1564" s="70" t="s">
        <v>595</v>
      </c>
      <c r="M1564" s="12" t="s">
        <v>918</v>
      </c>
      <c r="N1564" s="66">
        <v>1</v>
      </c>
      <c r="O1564" s="57">
        <f t="shared" si="32"/>
        <v>1047793</v>
      </c>
      <c r="P1564" s="62">
        <f>1035203+12590</f>
        <v>1047793</v>
      </c>
      <c r="Q1564" s="6" t="s">
        <v>505</v>
      </c>
      <c r="R1564" s="49" t="s">
        <v>1496</v>
      </c>
      <c r="S1564" s="38" t="s">
        <v>793</v>
      </c>
      <c r="T1564" s="6">
        <v>30</v>
      </c>
    </row>
    <row r="1565" spans="1:20" s="14" customFormat="1" ht="63.75">
      <c r="A1565" s="2"/>
      <c r="B1565" s="6">
        <v>1549</v>
      </c>
      <c r="C1565" s="16" t="s">
        <v>714</v>
      </c>
      <c r="D1565" s="38" t="s">
        <v>601</v>
      </c>
      <c r="E1565" s="38" t="s">
        <v>593</v>
      </c>
      <c r="F1565" s="38" t="s">
        <v>2370</v>
      </c>
      <c r="G1565" s="38" t="s">
        <v>594</v>
      </c>
      <c r="H1565" s="38" t="s">
        <v>2371</v>
      </c>
      <c r="I1565" s="38" t="s">
        <v>594</v>
      </c>
      <c r="J1565" s="142" t="s">
        <v>2372</v>
      </c>
      <c r="K1565" s="38" t="s">
        <v>2373</v>
      </c>
      <c r="L1565" s="70" t="s">
        <v>595</v>
      </c>
      <c r="M1565" s="12" t="s">
        <v>918</v>
      </c>
      <c r="N1565" s="26">
        <v>1</v>
      </c>
      <c r="O1565" s="57">
        <f t="shared" si="32"/>
        <v>1138134</v>
      </c>
      <c r="P1565" s="62">
        <f>1035203+102931</f>
        <v>1138134</v>
      </c>
      <c r="Q1565" s="6" t="s">
        <v>505</v>
      </c>
      <c r="R1565" s="6" t="s">
        <v>770</v>
      </c>
      <c r="S1565" s="38" t="s">
        <v>1025</v>
      </c>
      <c r="T1565" s="26">
        <v>30</v>
      </c>
    </row>
    <row r="1566" spans="1:20" s="14" customFormat="1" ht="63.75">
      <c r="A1566" s="17"/>
      <c r="B1566" s="6">
        <v>1550</v>
      </c>
      <c r="C1566" s="16" t="s">
        <v>714</v>
      </c>
      <c r="D1566" s="38" t="s">
        <v>601</v>
      </c>
      <c r="E1566" s="38" t="s">
        <v>593</v>
      </c>
      <c r="F1566" s="38" t="s">
        <v>2370</v>
      </c>
      <c r="G1566" s="38" t="s">
        <v>594</v>
      </c>
      <c r="H1566" s="38" t="s">
        <v>2371</v>
      </c>
      <c r="I1566" s="38" t="s">
        <v>594</v>
      </c>
      <c r="J1566" s="142" t="s">
        <v>2372</v>
      </c>
      <c r="K1566" s="38" t="s">
        <v>2373</v>
      </c>
      <c r="L1566" s="70" t="s">
        <v>595</v>
      </c>
      <c r="M1566" s="12" t="s">
        <v>918</v>
      </c>
      <c r="N1566" s="26">
        <v>1</v>
      </c>
      <c r="O1566" s="57">
        <f t="shared" si="32"/>
        <v>1138134</v>
      </c>
      <c r="P1566" s="62">
        <f>1035203+102931</f>
        <v>1138134</v>
      </c>
      <c r="Q1566" s="6" t="s">
        <v>505</v>
      </c>
      <c r="R1566" s="6" t="s">
        <v>770</v>
      </c>
      <c r="S1566" s="38" t="s">
        <v>2031</v>
      </c>
      <c r="T1566" s="26">
        <v>30</v>
      </c>
    </row>
    <row r="1567" spans="1:20" ht="63.75">
      <c r="B1567" s="6">
        <v>1551</v>
      </c>
      <c r="C1567" s="16" t="s">
        <v>714</v>
      </c>
      <c r="D1567" s="38" t="s">
        <v>601</v>
      </c>
      <c r="E1567" s="38" t="s">
        <v>593</v>
      </c>
      <c r="F1567" s="38" t="s">
        <v>2370</v>
      </c>
      <c r="G1567" s="38" t="s">
        <v>594</v>
      </c>
      <c r="H1567" s="38" t="s">
        <v>2371</v>
      </c>
      <c r="I1567" s="38" t="s">
        <v>594</v>
      </c>
      <c r="J1567" s="142" t="s">
        <v>2372</v>
      </c>
      <c r="K1567" s="38" t="s">
        <v>2373</v>
      </c>
      <c r="L1567" s="70" t="s">
        <v>595</v>
      </c>
      <c r="M1567" s="12" t="s">
        <v>918</v>
      </c>
      <c r="N1567" s="26">
        <v>1</v>
      </c>
      <c r="O1567" s="57">
        <f t="shared" si="32"/>
        <v>1047793</v>
      </c>
      <c r="P1567" s="62">
        <f>1035203+12590</f>
        <v>1047793</v>
      </c>
      <c r="Q1567" s="6" t="s">
        <v>505</v>
      </c>
      <c r="R1567" s="6" t="s">
        <v>770</v>
      </c>
      <c r="S1567" s="38" t="s">
        <v>637</v>
      </c>
      <c r="T1567" s="26">
        <v>30</v>
      </c>
    </row>
    <row r="1568" spans="1:20" ht="63.75">
      <c r="B1568" s="6">
        <v>1552</v>
      </c>
      <c r="C1568" s="16" t="s">
        <v>714</v>
      </c>
      <c r="D1568" s="38" t="s">
        <v>601</v>
      </c>
      <c r="E1568" s="38" t="s">
        <v>593</v>
      </c>
      <c r="F1568" s="38" t="s">
        <v>2370</v>
      </c>
      <c r="G1568" s="38" t="s">
        <v>594</v>
      </c>
      <c r="H1568" s="38" t="s">
        <v>2371</v>
      </c>
      <c r="I1568" s="38" t="s">
        <v>594</v>
      </c>
      <c r="J1568" s="142" t="s">
        <v>2372</v>
      </c>
      <c r="K1568" s="38" t="s">
        <v>2373</v>
      </c>
      <c r="L1568" s="70" t="s">
        <v>595</v>
      </c>
      <c r="M1568" s="12" t="s">
        <v>918</v>
      </c>
      <c r="N1568" s="26">
        <v>1</v>
      </c>
      <c r="O1568" s="57">
        <f t="shared" si="32"/>
        <v>1047793</v>
      </c>
      <c r="P1568" s="62">
        <f>1035203+12590</f>
        <v>1047793</v>
      </c>
      <c r="Q1568" s="6" t="s">
        <v>505</v>
      </c>
      <c r="R1568" s="6" t="s">
        <v>770</v>
      </c>
      <c r="S1568" s="38" t="s">
        <v>698</v>
      </c>
      <c r="T1568" s="26">
        <v>30</v>
      </c>
    </row>
    <row r="1569" spans="1:20" s="42" customFormat="1" ht="63.75">
      <c r="A1569" s="41"/>
      <c r="B1569" s="6">
        <v>1553</v>
      </c>
      <c r="C1569" s="16" t="s">
        <v>714</v>
      </c>
      <c r="D1569" s="38" t="s">
        <v>601</v>
      </c>
      <c r="E1569" s="38" t="s">
        <v>593</v>
      </c>
      <c r="F1569" s="38" t="s">
        <v>2370</v>
      </c>
      <c r="G1569" s="38" t="s">
        <v>594</v>
      </c>
      <c r="H1569" s="38" t="s">
        <v>2371</v>
      </c>
      <c r="I1569" s="38" t="s">
        <v>594</v>
      </c>
      <c r="J1569" s="142" t="s">
        <v>2372</v>
      </c>
      <c r="K1569" s="38" t="s">
        <v>2373</v>
      </c>
      <c r="L1569" s="70" t="s">
        <v>595</v>
      </c>
      <c r="M1569" s="12" t="s">
        <v>918</v>
      </c>
      <c r="N1569" s="26">
        <v>1</v>
      </c>
      <c r="O1569" s="57">
        <f t="shared" si="32"/>
        <v>1047793</v>
      </c>
      <c r="P1569" s="62">
        <f>1035203+12590</f>
        <v>1047793</v>
      </c>
      <c r="Q1569" s="6" t="s">
        <v>505</v>
      </c>
      <c r="R1569" s="6" t="s">
        <v>770</v>
      </c>
      <c r="S1569" s="38">
        <v>311000000</v>
      </c>
      <c r="T1569" s="26">
        <v>30</v>
      </c>
    </row>
    <row r="1570" spans="1:20" s="45" customFormat="1" ht="63.75">
      <c r="A1570" s="44"/>
      <c r="B1570" s="6">
        <v>1554</v>
      </c>
      <c r="C1570" s="16" t="s">
        <v>714</v>
      </c>
      <c r="D1570" s="38" t="s">
        <v>601</v>
      </c>
      <c r="E1570" s="38" t="s">
        <v>593</v>
      </c>
      <c r="F1570" s="38" t="s">
        <v>2370</v>
      </c>
      <c r="G1570" s="38" t="s">
        <v>594</v>
      </c>
      <c r="H1570" s="38" t="s">
        <v>2371</v>
      </c>
      <c r="I1570" s="38" t="s">
        <v>594</v>
      </c>
      <c r="J1570" s="142" t="s">
        <v>2372</v>
      </c>
      <c r="K1570" s="38" t="s">
        <v>2373</v>
      </c>
      <c r="L1570" s="70" t="s">
        <v>595</v>
      </c>
      <c r="M1570" s="12" t="s">
        <v>918</v>
      </c>
      <c r="N1570" s="26">
        <v>1</v>
      </c>
      <c r="O1570" s="57">
        <f t="shared" si="32"/>
        <v>1138134</v>
      </c>
      <c r="P1570" s="62">
        <f>1035203+102931</f>
        <v>1138134</v>
      </c>
      <c r="Q1570" s="6" t="s">
        <v>505</v>
      </c>
      <c r="R1570" s="6" t="s">
        <v>770</v>
      </c>
      <c r="S1570" s="38" t="s">
        <v>2032</v>
      </c>
      <c r="T1570" s="26">
        <v>30</v>
      </c>
    </row>
    <row r="1571" spans="1:20" s="14" customFormat="1" ht="63.75">
      <c r="A1571" s="2"/>
      <c r="B1571" s="6">
        <v>1555</v>
      </c>
      <c r="C1571" s="16" t="s">
        <v>714</v>
      </c>
      <c r="D1571" s="38" t="s">
        <v>601</v>
      </c>
      <c r="E1571" s="38" t="s">
        <v>593</v>
      </c>
      <c r="F1571" s="38" t="s">
        <v>2370</v>
      </c>
      <c r="G1571" s="38" t="s">
        <v>594</v>
      </c>
      <c r="H1571" s="38" t="s">
        <v>2371</v>
      </c>
      <c r="I1571" s="38" t="s">
        <v>594</v>
      </c>
      <c r="J1571" s="142" t="s">
        <v>2372</v>
      </c>
      <c r="K1571" s="38" t="s">
        <v>2373</v>
      </c>
      <c r="L1571" s="70" t="s">
        <v>595</v>
      </c>
      <c r="M1571" s="12" t="s">
        <v>918</v>
      </c>
      <c r="N1571" s="26">
        <v>1</v>
      </c>
      <c r="O1571" s="57">
        <f t="shared" si="32"/>
        <v>1047793</v>
      </c>
      <c r="P1571" s="62">
        <f>1035203+12590</f>
        <v>1047793</v>
      </c>
      <c r="Q1571" s="6" t="s">
        <v>505</v>
      </c>
      <c r="R1571" s="6" t="s">
        <v>770</v>
      </c>
      <c r="S1571" s="38">
        <v>351000000</v>
      </c>
      <c r="T1571" s="26">
        <v>30</v>
      </c>
    </row>
    <row r="1572" spans="1:20" s="14" customFormat="1" ht="63.75">
      <c r="A1572" s="2"/>
      <c r="B1572" s="6">
        <v>1556</v>
      </c>
      <c r="C1572" s="16" t="s">
        <v>714</v>
      </c>
      <c r="D1572" s="38" t="s">
        <v>601</v>
      </c>
      <c r="E1572" s="38" t="s">
        <v>593</v>
      </c>
      <c r="F1572" s="38" t="s">
        <v>2370</v>
      </c>
      <c r="G1572" s="38" t="s">
        <v>594</v>
      </c>
      <c r="H1572" s="38" t="s">
        <v>2371</v>
      </c>
      <c r="I1572" s="38" t="s">
        <v>594</v>
      </c>
      <c r="J1572" s="142" t="s">
        <v>2372</v>
      </c>
      <c r="K1572" s="38" t="s">
        <v>2373</v>
      </c>
      <c r="L1572" s="70" t="s">
        <v>595</v>
      </c>
      <c r="M1572" s="12" t="s">
        <v>918</v>
      </c>
      <c r="N1572" s="65">
        <v>1</v>
      </c>
      <c r="O1572" s="57">
        <f t="shared" si="32"/>
        <v>1047793</v>
      </c>
      <c r="P1572" s="62">
        <f>1035203+12590</f>
        <v>1047793</v>
      </c>
      <c r="Q1572" s="6" t="s">
        <v>505</v>
      </c>
      <c r="R1572" s="6" t="s">
        <v>770</v>
      </c>
      <c r="S1572" s="38">
        <v>431000000</v>
      </c>
      <c r="T1572" s="26">
        <v>30</v>
      </c>
    </row>
    <row r="1573" spans="1:20" s="14" customFormat="1" ht="63.75">
      <c r="A1573" s="2"/>
      <c r="B1573" s="6">
        <v>1557</v>
      </c>
      <c r="C1573" s="36" t="s">
        <v>714</v>
      </c>
      <c r="D1573" s="52" t="s">
        <v>601</v>
      </c>
      <c r="E1573" s="38" t="s">
        <v>593</v>
      </c>
      <c r="F1573" s="38" t="s">
        <v>2370</v>
      </c>
      <c r="G1573" s="38" t="s">
        <v>594</v>
      </c>
      <c r="H1573" s="38" t="s">
        <v>2371</v>
      </c>
      <c r="I1573" s="38" t="s">
        <v>594</v>
      </c>
      <c r="J1573" s="142" t="s">
        <v>2372</v>
      </c>
      <c r="K1573" s="38" t="s">
        <v>2373</v>
      </c>
      <c r="L1573" s="70" t="s">
        <v>595</v>
      </c>
      <c r="M1573" s="12" t="s">
        <v>918</v>
      </c>
      <c r="N1573" s="26">
        <v>1</v>
      </c>
      <c r="O1573" s="57">
        <f t="shared" si="32"/>
        <v>1138134</v>
      </c>
      <c r="P1573" s="62">
        <f>1035203+102931</f>
        <v>1138134</v>
      </c>
      <c r="Q1573" s="6" t="s">
        <v>505</v>
      </c>
      <c r="R1573" s="6" t="s">
        <v>770</v>
      </c>
      <c r="S1573" s="38" t="s">
        <v>719</v>
      </c>
      <c r="T1573" s="26">
        <v>30</v>
      </c>
    </row>
    <row r="1574" spans="1:20" ht="63.75">
      <c r="B1574" s="6">
        <v>1558</v>
      </c>
      <c r="C1574" s="16" t="s">
        <v>714</v>
      </c>
      <c r="D1574" s="38" t="s">
        <v>601</v>
      </c>
      <c r="E1574" s="38" t="s">
        <v>593</v>
      </c>
      <c r="F1574" s="38" t="s">
        <v>2370</v>
      </c>
      <c r="G1574" s="38" t="s">
        <v>594</v>
      </c>
      <c r="H1574" s="38" t="s">
        <v>2371</v>
      </c>
      <c r="I1574" s="38" t="s">
        <v>594</v>
      </c>
      <c r="J1574" s="142" t="s">
        <v>2372</v>
      </c>
      <c r="K1574" s="38" t="s">
        <v>2373</v>
      </c>
      <c r="L1574" s="70" t="s">
        <v>595</v>
      </c>
      <c r="M1574" s="12" t="s">
        <v>918</v>
      </c>
      <c r="N1574" s="26">
        <v>1</v>
      </c>
      <c r="O1574" s="57">
        <f t="shared" si="32"/>
        <v>1138134</v>
      </c>
      <c r="P1574" s="62">
        <f>1035203+102931</f>
        <v>1138134</v>
      </c>
      <c r="Q1574" s="6" t="s">
        <v>505</v>
      </c>
      <c r="R1574" s="6" t="s">
        <v>770</v>
      </c>
      <c r="S1574" s="38" t="s">
        <v>929</v>
      </c>
      <c r="T1574" s="26">
        <v>30</v>
      </c>
    </row>
    <row r="1575" spans="1:20" s="39" customFormat="1" ht="70.5" customHeight="1">
      <c r="B1575" s="6">
        <v>1559</v>
      </c>
      <c r="C1575" s="16" t="s">
        <v>714</v>
      </c>
      <c r="D1575" s="38" t="s">
        <v>601</v>
      </c>
      <c r="E1575" s="38" t="s">
        <v>593</v>
      </c>
      <c r="F1575" s="38" t="s">
        <v>2370</v>
      </c>
      <c r="G1575" s="38" t="s">
        <v>594</v>
      </c>
      <c r="H1575" s="38" t="s">
        <v>2371</v>
      </c>
      <c r="I1575" s="38" t="s">
        <v>594</v>
      </c>
      <c r="J1575" s="142" t="s">
        <v>2372</v>
      </c>
      <c r="K1575" s="38" t="s">
        <v>2373</v>
      </c>
      <c r="L1575" s="70" t="s">
        <v>595</v>
      </c>
      <c r="M1575" s="12" t="s">
        <v>918</v>
      </c>
      <c r="N1575" s="26">
        <v>1</v>
      </c>
      <c r="O1575" s="57">
        <f t="shared" si="32"/>
        <v>1047793</v>
      </c>
      <c r="P1575" s="62">
        <f>1035203+12590</f>
        <v>1047793</v>
      </c>
      <c r="Q1575" s="6" t="s">
        <v>505</v>
      </c>
      <c r="R1575" s="6" t="s">
        <v>770</v>
      </c>
      <c r="S1575" s="38">
        <v>551000000</v>
      </c>
      <c r="T1575" s="26">
        <v>30</v>
      </c>
    </row>
    <row r="1576" spans="1:20" s="14" customFormat="1" ht="63.75">
      <c r="A1576" s="2"/>
      <c r="B1576" s="6">
        <v>1560</v>
      </c>
      <c r="C1576" s="16" t="s">
        <v>945</v>
      </c>
      <c r="D1576" s="6" t="s">
        <v>601</v>
      </c>
      <c r="E1576" s="38" t="s">
        <v>593</v>
      </c>
      <c r="F1576" s="38" t="s">
        <v>2370</v>
      </c>
      <c r="G1576" s="38" t="s">
        <v>594</v>
      </c>
      <c r="H1576" s="38" t="s">
        <v>2371</v>
      </c>
      <c r="I1576" s="38" t="s">
        <v>594</v>
      </c>
      <c r="J1576" s="142" t="s">
        <v>2372</v>
      </c>
      <c r="K1576" s="38" t="s">
        <v>2373</v>
      </c>
      <c r="L1576" s="70" t="s">
        <v>595</v>
      </c>
      <c r="M1576" s="12" t="s">
        <v>918</v>
      </c>
      <c r="N1576" s="26">
        <v>1</v>
      </c>
      <c r="O1576" s="57">
        <f t="shared" si="32"/>
        <v>1138134</v>
      </c>
      <c r="P1576" s="62">
        <f>1035203+102931</f>
        <v>1138134</v>
      </c>
      <c r="Q1576" s="6" t="s">
        <v>505</v>
      </c>
      <c r="R1576" s="6" t="s">
        <v>770</v>
      </c>
      <c r="S1576" s="38">
        <v>591000000</v>
      </c>
      <c r="T1576" s="26">
        <v>30</v>
      </c>
    </row>
    <row r="1577" spans="1:20" s="14" customFormat="1" ht="63.75">
      <c r="A1577" s="2"/>
      <c r="B1577" s="6">
        <v>1561</v>
      </c>
      <c r="C1577" s="16" t="s">
        <v>714</v>
      </c>
      <c r="D1577" s="38" t="s">
        <v>601</v>
      </c>
      <c r="E1577" s="38" t="s">
        <v>593</v>
      </c>
      <c r="F1577" s="38" t="s">
        <v>2370</v>
      </c>
      <c r="G1577" s="38" t="s">
        <v>594</v>
      </c>
      <c r="H1577" s="38" t="s">
        <v>2371</v>
      </c>
      <c r="I1577" s="38" t="s">
        <v>594</v>
      </c>
      <c r="J1577" s="142" t="s">
        <v>2372</v>
      </c>
      <c r="K1577" s="38" t="s">
        <v>2373</v>
      </c>
      <c r="L1577" s="70" t="s">
        <v>595</v>
      </c>
      <c r="M1577" s="12" t="s">
        <v>918</v>
      </c>
      <c r="N1577" s="26">
        <v>1</v>
      </c>
      <c r="O1577" s="57">
        <f t="shared" si="32"/>
        <v>1047793</v>
      </c>
      <c r="P1577" s="62">
        <f>1035203+12590</f>
        <v>1047793</v>
      </c>
      <c r="Q1577" s="6" t="s">
        <v>505</v>
      </c>
      <c r="R1577" s="6" t="s">
        <v>770</v>
      </c>
      <c r="S1577" s="38" t="s">
        <v>2037</v>
      </c>
      <c r="T1577" s="6">
        <v>30</v>
      </c>
    </row>
    <row r="1578" spans="1:20" s="1" customFormat="1" ht="51">
      <c r="A1578" s="3"/>
      <c r="B1578" s="6">
        <v>1562</v>
      </c>
      <c r="C1578" s="16" t="s">
        <v>714</v>
      </c>
      <c r="D1578" s="38" t="s">
        <v>601</v>
      </c>
      <c r="E1578" s="38" t="s">
        <v>868</v>
      </c>
      <c r="F1578" s="70" t="s">
        <v>532</v>
      </c>
      <c r="G1578" s="70" t="s">
        <v>533</v>
      </c>
      <c r="H1578" s="70" t="s">
        <v>534</v>
      </c>
      <c r="I1578" s="70" t="s">
        <v>869</v>
      </c>
      <c r="J1578" s="70" t="s">
        <v>2007</v>
      </c>
      <c r="K1578" s="70" t="s">
        <v>333</v>
      </c>
      <c r="L1578" s="70" t="s">
        <v>595</v>
      </c>
      <c r="M1578" s="12" t="s">
        <v>918</v>
      </c>
      <c r="N1578" s="26">
        <v>1</v>
      </c>
      <c r="O1578" s="57">
        <v>248214</v>
      </c>
      <c r="P1578" s="62">
        <f t="shared" si="31"/>
        <v>248214</v>
      </c>
      <c r="Q1578" s="9" t="s">
        <v>616</v>
      </c>
      <c r="R1578" s="49" t="s">
        <v>1496</v>
      </c>
      <c r="S1578" s="38" t="s">
        <v>1179</v>
      </c>
      <c r="T1578" s="9">
        <v>30</v>
      </c>
    </row>
    <row r="1579" spans="1:20" ht="165.75">
      <c r="B1579" s="6">
        <v>1563</v>
      </c>
      <c r="C1579" s="16" t="s">
        <v>714</v>
      </c>
      <c r="D1579" s="38" t="s">
        <v>601</v>
      </c>
      <c r="E1579" s="38" t="s">
        <v>946</v>
      </c>
      <c r="F1579" s="70" t="s">
        <v>1159</v>
      </c>
      <c r="G1579" s="70" t="s">
        <v>947</v>
      </c>
      <c r="H1579" s="70" t="s">
        <v>1977</v>
      </c>
      <c r="I1579" s="70" t="s">
        <v>948</v>
      </c>
      <c r="J1579" s="70" t="s">
        <v>2008</v>
      </c>
      <c r="K1579" s="70" t="s">
        <v>334</v>
      </c>
      <c r="L1579" s="70" t="s">
        <v>595</v>
      </c>
      <c r="M1579" s="12" t="s">
        <v>918</v>
      </c>
      <c r="N1579" s="26">
        <v>1</v>
      </c>
      <c r="O1579" s="57">
        <f>P1579/N1579</f>
        <v>2400000</v>
      </c>
      <c r="P1579" s="62">
        <f>2480040-80040</f>
        <v>2400000</v>
      </c>
      <c r="Q1579" s="6" t="s">
        <v>519</v>
      </c>
      <c r="R1579" s="6" t="s">
        <v>1303</v>
      </c>
      <c r="S1579" s="38" t="s">
        <v>1179</v>
      </c>
      <c r="T1579" s="6">
        <v>30</v>
      </c>
    </row>
    <row r="1580" spans="1:20" s="1" customFormat="1" ht="51">
      <c r="A1580" s="3"/>
      <c r="B1580" s="6">
        <v>1564</v>
      </c>
      <c r="C1580" s="16" t="s">
        <v>714</v>
      </c>
      <c r="D1580" s="38" t="s">
        <v>601</v>
      </c>
      <c r="E1580" s="38" t="s">
        <v>511</v>
      </c>
      <c r="F1580" s="70" t="s">
        <v>1953</v>
      </c>
      <c r="G1580" s="70" t="s">
        <v>513</v>
      </c>
      <c r="H1580" s="70" t="s">
        <v>2009</v>
      </c>
      <c r="I1580" s="70" t="s">
        <v>514</v>
      </c>
      <c r="J1580" s="70" t="s">
        <v>2010</v>
      </c>
      <c r="K1580" s="70" t="s">
        <v>88</v>
      </c>
      <c r="L1580" s="70" t="s">
        <v>595</v>
      </c>
      <c r="M1580" s="12" t="s">
        <v>918</v>
      </c>
      <c r="N1580" s="26">
        <v>1</v>
      </c>
      <c r="O1580" s="57">
        <f>P1580/N1580</f>
        <v>16151000</v>
      </c>
      <c r="P1580" s="62">
        <f>18585714-1974000-460714</f>
        <v>16151000</v>
      </c>
      <c r="Q1580" s="5" t="s">
        <v>395</v>
      </c>
      <c r="R1580" s="6" t="s">
        <v>943</v>
      </c>
      <c r="S1580" s="38" t="s">
        <v>1179</v>
      </c>
      <c r="T1580" s="6">
        <v>30</v>
      </c>
    </row>
    <row r="1581" spans="1:20" s="1" customFormat="1" ht="76.5">
      <c r="A1581" s="3"/>
      <c r="B1581" s="6">
        <v>1565</v>
      </c>
      <c r="C1581" s="16" t="s">
        <v>714</v>
      </c>
      <c r="D1581" s="38" t="s">
        <v>601</v>
      </c>
      <c r="E1581" s="38" t="s">
        <v>1304</v>
      </c>
      <c r="F1581" s="70" t="s">
        <v>1938</v>
      </c>
      <c r="G1581" s="70" t="s">
        <v>1305</v>
      </c>
      <c r="H1581" s="70" t="s">
        <v>1939</v>
      </c>
      <c r="I1581" s="70" t="s">
        <v>1306</v>
      </c>
      <c r="J1581" s="70" t="s">
        <v>2011</v>
      </c>
      <c r="K1581" s="70" t="s">
        <v>89</v>
      </c>
      <c r="L1581" s="70" t="s">
        <v>595</v>
      </c>
      <c r="M1581" s="12" t="s">
        <v>918</v>
      </c>
      <c r="N1581" s="26">
        <v>1</v>
      </c>
      <c r="O1581" s="57">
        <f>P1581/N1581</f>
        <v>7777586</v>
      </c>
      <c r="P1581" s="62">
        <f>11160714-3383128</f>
        <v>7777586</v>
      </c>
      <c r="Q1581" s="5" t="s">
        <v>506</v>
      </c>
      <c r="R1581" s="6" t="s">
        <v>1307</v>
      </c>
      <c r="S1581" s="38" t="s">
        <v>1179</v>
      </c>
      <c r="T1581" s="6">
        <v>30</v>
      </c>
    </row>
    <row r="1582" spans="1:20" ht="31.5" customHeight="1">
      <c r="B1582" s="6">
        <v>1566</v>
      </c>
      <c r="C1582" s="16" t="s">
        <v>714</v>
      </c>
      <c r="D1582" s="38" t="s">
        <v>601</v>
      </c>
      <c r="E1582" s="38" t="s">
        <v>1470</v>
      </c>
      <c r="F1582" s="70" t="s">
        <v>2013</v>
      </c>
      <c r="G1582" s="70" t="s">
        <v>1471</v>
      </c>
      <c r="H1582" s="70" t="s">
        <v>2013</v>
      </c>
      <c r="I1582" s="70" t="s">
        <v>1471</v>
      </c>
      <c r="J1582" s="70" t="s">
        <v>2012</v>
      </c>
      <c r="K1582" s="70" t="s">
        <v>1472</v>
      </c>
      <c r="L1582" s="70" t="s">
        <v>595</v>
      </c>
      <c r="M1582" s="12" t="s">
        <v>918</v>
      </c>
      <c r="N1582" s="26">
        <v>1</v>
      </c>
      <c r="O1582" s="57">
        <f>P1582/N1582</f>
        <v>2088929</v>
      </c>
      <c r="P1582" s="62">
        <f>4088929-2000000</f>
        <v>2088929</v>
      </c>
      <c r="Q1582" s="6" t="s">
        <v>506</v>
      </c>
      <c r="R1582" s="16" t="s">
        <v>1311</v>
      </c>
      <c r="S1582" s="38" t="s">
        <v>1179</v>
      </c>
      <c r="T1582" s="26">
        <v>30</v>
      </c>
    </row>
    <row r="1583" spans="1:20" s="1" customFormat="1" ht="63.75">
      <c r="A1583" s="3"/>
      <c r="B1583" s="6">
        <v>1567</v>
      </c>
      <c r="C1583" s="16" t="s">
        <v>714</v>
      </c>
      <c r="D1583" s="38" t="s">
        <v>601</v>
      </c>
      <c r="E1583" s="38" t="s">
        <v>1308</v>
      </c>
      <c r="F1583" s="70" t="s">
        <v>2014</v>
      </c>
      <c r="G1583" s="70" t="s">
        <v>1309</v>
      </c>
      <c r="H1583" s="70" t="s">
        <v>2015</v>
      </c>
      <c r="I1583" s="70" t="s">
        <v>1310</v>
      </c>
      <c r="J1583" s="70" t="s">
        <v>2016</v>
      </c>
      <c r="K1583" s="70" t="s">
        <v>122</v>
      </c>
      <c r="L1583" s="70" t="s">
        <v>595</v>
      </c>
      <c r="M1583" s="12" t="s">
        <v>918</v>
      </c>
      <c r="N1583" s="26">
        <v>1</v>
      </c>
      <c r="O1583" s="57">
        <v>251068</v>
      </c>
      <c r="P1583" s="62">
        <f t="shared" ref="P1583:P1627" si="33">N1583*O1583</f>
        <v>251068</v>
      </c>
      <c r="Q1583" s="5" t="s">
        <v>395</v>
      </c>
      <c r="R1583" s="6" t="s">
        <v>943</v>
      </c>
      <c r="S1583" s="38" t="s">
        <v>1179</v>
      </c>
      <c r="T1583" s="6">
        <v>50</v>
      </c>
    </row>
    <row r="1584" spans="1:20" s="1" customFormat="1" ht="51">
      <c r="A1584" s="3"/>
      <c r="B1584" s="6">
        <v>1568</v>
      </c>
      <c r="C1584" s="16" t="s">
        <v>714</v>
      </c>
      <c r="D1584" s="38" t="s">
        <v>601</v>
      </c>
      <c r="E1584" s="38" t="s">
        <v>1312</v>
      </c>
      <c r="F1584" s="70" t="s">
        <v>2017</v>
      </c>
      <c r="G1584" s="70" t="s">
        <v>1313</v>
      </c>
      <c r="H1584" s="70" t="s">
        <v>2018</v>
      </c>
      <c r="I1584" s="70" t="s">
        <v>1314</v>
      </c>
      <c r="J1584" s="70" t="s">
        <v>1934</v>
      </c>
      <c r="K1584" s="70" t="s">
        <v>90</v>
      </c>
      <c r="L1584" s="70" t="s">
        <v>595</v>
      </c>
      <c r="M1584" s="12" t="s">
        <v>918</v>
      </c>
      <c r="N1584" s="26">
        <v>1</v>
      </c>
      <c r="O1584" s="57">
        <f>P1584/N1584</f>
        <v>450000</v>
      </c>
      <c r="P1584" s="62">
        <f>477679-27679</f>
        <v>450000</v>
      </c>
      <c r="Q1584" s="6" t="s">
        <v>1315</v>
      </c>
      <c r="R1584" s="6" t="s">
        <v>770</v>
      </c>
      <c r="S1584" s="38" t="s">
        <v>1179</v>
      </c>
      <c r="T1584" s="161">
        <v>0</v>
      </c>
    </row>
    <row r="1585" spans="1:20" ht="76.5">
      <c r="B1585" s="6">
        <v>1569</v>
      </c>
      <c r="C1585" s="16" t="s">
        <v>714</v>
      </c>
      <c r="D1585" s="38" t="s">
        <v>601</v>
      </c>
      <c r="E1585" s="38" t="s">
        <v>1316</v>
      </c>
      <c r="F1585" s="70" t="s">
        <v>1990</v>
      </c>
      <c r="G1585" s="70" t="s">
        <v>1317</v>
      </c>
      <c r="H1585" s="70" t="s">
        <v>1991</v>
      </c>
      <c r="I1585" s="70" t="s">
        <v>1318</v>
      </c>
      <c r="J1585" s="70" t="s">
        <v>2019</v>
      </c>
      <c r="K1585" s="70" t="s">
        <v>91</v>
      </c>
      <c r="L1585" s="70" t="s">
        <v>595</v>
      </c>
      <c r="M1585" s="12" t="s">
        <v>918</v>
      </c>
      <c r="N1585" s="26">
        <v>1</v>
      </c>
      <c r="O1585" s="57">
        <f>P1585/N1585</f>
        <v>0</v>
      </c>
      <c r="P1585" s="62">
        <f>636648-636648</f>
        <v>0</v>
      </c>
      <c r="Q1585" s="6" t="s">
        <v>510</v>
      </c>
      <c r="R1585" s="6" t="s">
        <v>590</v>
      </c>
      <c r="S1585" s="38" t="s">
        <v>1179</v>
      </c>
      <c r="T1585" s="6">
        <v>30</v>
      </c>
    </row>
    <row r="1586" spans="1:20" ht="76.5">
      <c r="B1586" s="6">
        <v>1570</v>
      </c>
      <c r="C1586" s="16" t="s">
        <v>714</v>
      </c>
      <c r="D1586" s="38" t="s">
        <v>601</v>
      </c>
      <c r="E1586" s="38" t="s">
        <v>1304</v>
      </c>
      <c r="F1586" s="70" t="s">
        <v>1938</v>
      </c>
      <c r="G1586" s="70" t="s">
        <v>1305</v>
      </c>
      <c r="H1586" s="70" t="s">
        <v>1939</v>
      </c>
      <c r="I1586" s="70" t="s">
        <v>1306</v>
      </c>
      <c r="J1586" s="70" t="s">
        <v>2020</v>
      </c>
      <c r="K1586" s="70" t="s">
        <v>335</v>
      </c>
      <c r="L1586" s="70" t="s">
        <v>595</v>
      </c>
      <c r="M1586" s="12" t="s">
        <v>918</v>
      </c>
      <c r="N1586" s="26">
        <v>1</v>
      </c>
      <c r="O1586" s="57">
        <v>2920086</v>
      </c>
      <c r="P1586" s="62">
        <f t="shared" si="33"/>
        <v>2920086</v>
      </c>
      <c r="Q1586" s="6" t="s">
        <v>703</v>
      </c>
      <c r="R1586" s="6" t="s">
        <v>1319</v>
      </c>
      <c r="S1586" s="38" t="s">
        <v>1179</v>
      </c>
      <c r="T1586" s="6">
        <v>30</v>
      </c>
    </row>
    <row r="1587" spans="1:20" ht="38.25">
      <c r="B1587" s="6">
        <v>1571</v>
      </c>
      <c r="C1587" s="16" t="s">
        <v>714</v>
      </c>
      <c r="D1587" s="38" t="s">
        <v>601</v>
      </c>
      <c r="E1587" s="38" t="s">
        <v>1320</v>
      </c>
      <c r="F1587" s="70" t="s">
        <v>2021</v>
      </c>
      <c r="G1587" s="70" t="s">
        <v>1321</v>
      </c>
      <c r="H1587" s="70" t="s">
        <v>2021</v>
      </c>
      <c r="I1587" s="70" t="s">
        <v>1322</v>
      </c>
      <c r="J1587" s="70" t="s">
        <v>2022</v>
      </c>
      <c r="K1587" s="70" t="s">
        <v>336</v>
      </c>
      <c r="L1587" s="70" t="s">
        <v>595</v>
      </c>
      <c r="M1587" s="12" t="s">
        <v>918</v>
      </c>
      <c r="N1587" s="26">
        <v>1</v>
      </c>
      <c r="O1587" s="57">
        <f>P1587/N1587</f>
        <v>0</v>
      </c>
      <c r="P1587" s="62">
        <f>2678571-2678571</f>
        <v>0</v>
      </c>
      <c r="Q1587" s="6" t="s">
        <v>519</v>
      </c>
      <c r="R1587" s="6" t="s">
        <v>1323</v>
      </c>
      <c r="S1587" s="38" t="s">
        <v>1179</v>
      </c>
      <c r="T1587" s="6">
        <v>30</v>
      </c>
    </row>
    <row r="1588" spans="1:20" ht="76.5">
      <c r="B1588" s="6">
        <v>1572</v>
      </c>
      <c r="C1588" s="16" t="s">
        <v>714</v>
      </c>
      <c r="D1588" s="38" t="s">
        <v>601</v>
      </c>
      <c r="E1588" s="38" t="s">
        <v>1304</v>
      </c>
      <c r="F1588" s="70" t="s">
        <v>1938</v>
      </c>
      <c r="G1588" s="70" t="s">
        <v>1305</v>
      </c>
      <c r="H1588" s="70" t="s">
        <v>1939</v>
      </c>
      <c r="I1588" s="70" t="s">
        <v>1306</v>
      </c>
      <c r="J1588" s="70" t="s">
        <v>2020</v>
      </c>
      <c r="K1588" s="70" t="s">
        <v>337</v>
      </c>
      <c r="L1588" s="70" t="s">
        <v>595</v>
      </c>
      <c r="M1588" s="12" t="s">
        <v>918</v>
      </c>
      <c r="N1588" s="26">
        <v>1</v>
      </c>
      <c r="O1588" s="57">
        <f t="shared" ref="O1588:O1590" si="34">P1588/N1588</f>
        <v>0</v>
      </c>
      <c r="P1588" s="62">
        <f>2678571-2678571</f>
        <v>0</v>
      </c>
      <c r="Q1588" s="6" t="s">
        <v>703</v>
      </c>
      <c r="R1588" s="6" t="s">
        <v>1319</v>
      </c>
      <c r="S1588" s="38" t="s">
        <v>1179</v>
      </c>
      <c r="T1588" s="6">
        <v>30</v>
      </c>
    </row>
    <row r="1589" spans="1:20" ht="63.75">
      <c r="B1589" s="6">
        <v>1573</v>
      </c>
      <c r="C1589" s="16" t="s">
        <v>714</v>
      </c>
      <c r="D1589" s="38" t="s">
        <v>601</v>
      </c>
      <c r="E1589" s="38" t="s">
        <v>1308</v>
      </c>
      <c r="F1589" s="70" t="s">
        <v>2014</v>
      </c>
      <c r="G1589" s="70" t="s">
        <v>1309</v>
      </c>
      <c r="H1589" s="70" t="s">
        <v>2023</v>
      </c>
      <c r="I1589" s="70" t="s">
        <v>1310</v>
      </c>
      <c r="J1589" s="70" t="s">
        <v>2016</v>
      </c>
      <c r="K1589" s="70" t="s">
        <v>338</v>
      </c>
      <c r="L1589" s="70" t="s">
        <v>595</v>
      </c>
      <c r="M1589" s="12" t="s">
        <v>918</v>
      </c>
      <c r="N1589" s="26">
        <v>1</v>
      </c>
      <c r="O1589" s="57">
        <f t="shared" si="34"/>
        <v>0</v>
      </c>
      <c r="P1589" s="62">
        <f>178571-178571</f>
        <v>0</v>
      </c>
      <c r="Q1589" s="6" t="s">
        <v>395</v>
      </c>
      <c r="R1589" s="6" t="s">
        <v>943</v>
      </c>
      <c r="S1589" s="38" t="s">
        <v>1179</v>
      </c>
      <c r="T1589" s="6">
        <v>50</v>
      </c>
    </row>
    <row r="1590" spans="1:20" ht="89.25">
      <c r="B1590" s="6">
        <v>1574</v>
      </c>
      <c r="C1590" s="16" t="s">
        <v>714</v>
      </c>
      <c r="D1590" s="38" t="s">
        <v>601</v>
      </c>
      <c r="E1590" s="38" t="s">
        <v>528</v>
      </c>
      <c r="F1590" s="70" t="s">
        <v>2024</v>
      </c>
      <c r="G1590" s="70" t="s">
        <v>529</v>
      </c>
      <c r="H1590" s="70" t="s">
        <v>2025</v>
      </c>
      <c r="I1590" s="70" t="s">
        <v>530</v>
      </c>
      <c r="J1590" s="70" t="s">
        <v>2008</v>
      </c>
      <c r="K1590" s="70" t="s">
        <v>339</v>
      </c>
      <c r="L1590" s="70" t="s">
        <v>595</v>
      </c>
      <c r="M1590" s="12" t="s">
        <v>918</v>
      </c>
      <c r="N1590" s="26">
        <v>1</v>
      </c>
      <c r="O1590" s="57">
        <f t="shared" si="34"/>
        <v>0</v>
      </c>
      <c r="P1590" s="62">
        <f>1785714-1785714</f>
        <v>0</v>
      </c>
      <c r="Q1590" s="6" t="s">
        <v>519</v>
      </c>
      <c r="R1590" s="6" t="s">
        <v>1303</v>
      </c>
      <c r="S1590" s="38" t="s">
        <v>1179</v>
      </c>
      <c r="T1590" s="6">
        <v>30</v>
      </c>
    </row>
    <row r="1591" spans="1:20" s="14" customFormat="1" ht="63.75">
      <c r="A1591" s="2"/>
      <c r="B1591" s="6">
        <v>1575</v>
      </c>
      <c r="C1591" s="36" t="s">
        <v>714</v>
      </c>
      <c r="D1591" s="43" t="s">
        <v>601</v>
      </c>
      <c r="E1591" s="38" t="s">
        <v>593</v>
      </c>
      <c r="F1591" s="70" t="s">
        <v>2053</v>
      </c>
      <c r="G1591" s="70" t="s">
        <v>713</v>
      </c>
      <c r="H1591" s="70" t="s">
        <v>2053</v>
      </c>
      <c r="I1591" s="70" t="s">
        <v>594</v>
      </c>
      <c r="J1591" s="70" t="s">
        <v>2054</v>
      </c>
      <c r="K1591" s="70" t="s">
        <v>87</v>
      </c>
      <c r="L1591" s="70" t="s">
        <v>595</v>
      </c>
      <c r="M1591" s="12" t="s">
        <v>918</v>
      </c>
      <c r="N1591" s="26">
        <v>1</v>
      </c>
      <c r="O1591" s="57">
        <f>P1591/N1591</f>
        <v>2143008</v>
      </c>
      <c r="P1591" s="62">
        <f>2144588-1580</f>
        <v>2143008</v>
      </c>
      <c r="Q1591" s="6" t="s">
        <v>395</v>
      </c>
      <c r="R1591" s="6" t="s">
        <v>770</v>
      </c>
      <c r="S1591" s="38" t="s">
        <v>2038</v>
      </c>
      <c r="T1591" s="26">
        <v>30</v>
      </c>
    </row>
    <row r="1592" spans="1:20" s="14" customFormat="1" ht="63.75">
      <c r="A1592" s="2"/>
      <c r="B1592" s="6">
        <v>1576</v>
      </c>
      <c r="C1592" s="16" t="s">
        <v>714</v>
      </c>
      <c r="D1592" s="38" t="s">
        <v>601</v>
      </c>
      <c r="E1592" s="38" t="s">
        <v>593</v>
      </c>
      <c r="F1592" s="70" t="s">
        <v>2053</v>
      </c>
      <c r="G1592" s="70" t="s">
        <v>713</v>
      </c>
      <c r="H1592" s="70" t="s">
        <v>2053</v>
      </c>
      <c r="I1592" s="70" t="s">
        <v>594</v>
      </c>
      <c r="J1592" s="70" t="s">
        <v>2054</v>
      </c>
      <c r="K1592" s="70" t="s">
        <v>87</v>
      </c>
      <c r="L1592" s="70" t="s">
        <v>595</v>
      </c>
      <c r="M1592" s="12" t="s">
        <v>918</v>
      </c>
      <c r="N1592" s="26">
        <v>1</v>
      </c>
      <c r="O1592" s="57">
        <f>P1592/N1592</f>
        <v>2630400</v>
      </c>
      <c r="P1592" s="62">
        <f>2654613-24213</f>
        <v>2630400</v>
      </c>
      <c r="Q1592" s="6" t="s">
        <v>395</v>
      </c>
      <c r="R1592" s="6" t="s">
        <v>770</v>
      </c>
      <c r="S1592" s="38" t="s">
        <v>1025</v>
      </c>
      <c r="T1592" s="26">
        <v>30</v>
      </c>
    </row>
    <row r="1593" spans="1:20" s="14" customFormat="1" ht="63.75">
      <c r="A1593" s="2"/>
      <c r="B1593" s="6">
        <v>1577</v>
      </c>
      <c r="C1593" s="16" t="s">
        <v>714</v>
      </c>
      <c r="D1593" s="38" t="s">
        <v>601</v>
      </c>
      <c r="E1593" s="38" t="s">
        <v>593</v>
      </c>
      <c r="F1593" s="70" t="s">
        <v>2053</v>
      </c>
      <c r="G1593" s="70" t="s">
        <v>713</v>
      </c>
      <c r="H1593" s="70" t="s">
        <v>2053</v>
      </c>
      <c r="I1593" s="70" t="s">
        <v>594</v>
      </c>
      <c r="J1593" s="70" t="s">
        <v>2054</v>
      </c>
      <c r="K1593" s="70" t="s">
        <v>87</v>
      </c>
      <c r="L1593" s="70" t="s">
        <v>595</v>
      </c>
      <c r="M1593" s="12" t="s">
        <v>918</v>
      </c>
      <c r="N1593" s="26">
        <v>1</v>
      </c>
      <c r="O1593" s="57">
        <f>P1593/N1593</f>
        <v>4530770</v>
      </c>
      <c r="P1593" s="62">
        <f>4540074-9304</f>
        <v>4530770</v>
      </c>
      <c r="Q1593" s="6" t="s">
        <v>395</v>
      </c>
      <c r="R1593" s="6" t="s">
        <v>770</v>
      </c>
      <c r="S1593" s="38" t="s">
        <v>793</v>
      </c>
      <c r="T1593" s="26">
        <v>30</v>
      </c>
    </row>
    <row r="1594" spans="1:20" s="14" customFormat="1" ht="63.75">
      <c r="A1594" s="2"/>
      <c r="B1594" s="6">
        <v>1578</v>
      </c>
      <c r="C1594" s="16" t="s">
        <v>714</v>
      </c>
      <c r="D1594" s="38" t="s">
        <v>601</v>
      </c>
      <c r="E1594" s="38" t="s">
        <v>593</v>
      </c>
      <c r="F1594" s="70" t="s">
        <v>2053</v>
      </c>
      <c r="G1594" s="70" t="s">
        <v>713</v>
      </c>
      <c r="H1594" s="70" t="s">
        <v>2053</v>
      </c>
      <c r="I1594" s="70" t="s">
        <v>594</v>
      </c>
      <c r="J1594" s="70" t="s">
        <v>2054</v>
      </c>
      <c r="K1594" s="70" t="s">
        <v>87</v>
      </c>
      <c r="L1594" s="70" t="s">
        <v>595</v>
      </c>
      <c r="M1594" s="12" t="s">
        <v>918</v>
      </c>
      <c r="N1594" s="26">
        <v>1</v>
      </c>
      <c r="O1594" s="57">
        <f>P1594/N1594</f>
        <v>3500000</v>
      </c>
      <c r="P1594" s="62">
        <f>3753571-253571</f>
        <v>3500000</v>
      </c>
      <c r="Q1594" s="6" t="s">
        <v>395</v>
      </c>
      <c r="R1594" s="6" t="s">
        <v>770</v>
      </c>
      <c r="S1594" s="38" t="s">
        <v>2030</v>
      </c>
      <c r="T1594" s="26">
        <v>30</v>
      </c>
    </row>
    <row r="1595" spans="1:20" s="14" customFormat="1" ht="63.75">
      <c r="B1595" s="6">
        <v>1579</v>
      </c>
      <c r="C1595" s="16" t="s">
        <v>714</v>
      </c>
      <c r="D1595" s="38" t="s">
        <v>601</v>
      </c>
      <c r="E1595" s="38" t="s">
        <v>593</v>
      </c>
      <c r="F1595" s="70" t="s">
        <v>2053</v>
      </c>
      <c r="G1595" s="70" t="s">
        <v>713</v>
      </c>
      <c r="H1595" s="70" t="s">
        <v>2053</v>
      </c>
      <c r="I1595" s="70" t="s">
        <v>594</v>
      </c>
      <c r="J1595" s="70" t="s">
        <v>2054</v>
      </c>
      <c r="K1595" s="70" t="s">
        <v>87</v>
      </c>
      <c r="L1595" s="70" t="s">
        <v>595</v>
      </c>
      <c r="M1595" s="12" t="s">
        <v>918</v>
      </c>
      <c r="N1595" s="26">
        <v>1</v>
      </c>
      <c r="O1595" s="57">
        <f t="shared" ref="O1595:O1606" si="35">P1595/N1595</f>
        <v>3513060</v>
      </c>
      <c r="P1595" s="62">
        <f>4038286-525226</f>
        <v>3513060</v>
      </c>
      <c r="Q1595" s="6" t="s">
        <v>395</v>
      </c>
      <c r="R1595" s="6" t="s">
        <v>770</v>
      </c>
      <c r="S1595" s="38" t="s">
        <v>2035</v>
      </c>
      <c r="T1595" s="26">
        <v>30</v>
      </c>
    </row>
    <row r="1596" spans="1:20" s="14" customFormat="1" ht="63.75">
      <c r="A1596" s="17"/>
      <c r="B1596" s="6">
        <v>1580</v>
      </c>
      <c r="C1596" s="16" t="s">
        <v>714</v>
      </c>
      <c r="D1596" s="38" t="s">
        <v>601</v>
      </c>
      <c r="E1596" s="38" t="s">
        <v>593</v>
      </c>
      <c r="F1596" s="70" t="s">
        <v>2053</v>
      </c>
      <c r="G1596" s="70" t="s">
        <v>713</v>
      </c>
      <c r="H1596" s="70" t="s">
        <v>2053</v>
      </c>
      <c r="I1596" s="70" t="s">
        <v>594</v>
      </c>
      <c r="J1596" s="70" t="s">
        <v>2054</v>
      </c>
      <c r="K1596" s="70" t="s">
        <v>87</v>
      </c>
      <c r="L1596" s="70" t="s">
        <v>595</v>
      </c>
      <c r="M1596" s="12" t="s">
        <v>918</v>
      </c>
      <c r="N1596" s="26">
        <v>1</v>
      </c>
      <c r="O1596" s="57">
        <f t="shared" si="35"/>
        <v>1761690</v>
      </c>
      <c r="P1596" s="62">
        <f>1761690</f>
        <v>1761690</v>
      </c>
      <c r="Q1596" s="6" t="s">
        <v>395</v>
      </c>
      <c r="R1596" s="6" t="s">
        <v>770</v>
      </c>
      <c r="S1596" s="38" t="s">
        <v>2031</v>
      </c>
      <c r="T1596" s="26">
        <v>30</v>
      </c>
    </row>
    <row r="1597" spans="1:20" ht="63.75">
      <c r="B1597" s="6">
        <v>1581</v>
      </c>
      <c r="C1597" s="16" t="s">
        <v>714</v>
      </c>
      <c r="D1597" s="38" t="s">
        <v>601</v>
      </c>
      <c r="E1597" s="38" t="s">
        <v>593</v>
      </c>
      <c r="F1597" s="70" t="s">
        <v>2053</v>
      </c>
      <c r="G1597" s="70" t="s">
        <v>713</v>
      </c>
      <c r="H1597" s="70" t="s">
        <v>2053</v>
      </c>
      <c r="I1597" s="70" t="s">
        <v>594</v>
      </c>
      <c r="J1597" s="70" t="s">
        <v>2054</v>
      </c>
      <c r="K1597" s="70" t="s">
        <v>87</v>
      </c>
      <c r="L1597" s="70" t="s">
        <v>595</v>
      </c>
      <c r="M1597" s="12" t="s">
        <v>918</v>
      </c>
      <c r="N1597" s="26">
        <v>1</v>
      </c>
      <c r="O1597" s="57">
        <f t="shared" si="35"/>
        <v>3147321</v>
      </c>
      <c r="P1597" s="62">
        <f>3150911-3590</f>
        <v>3147321</v>
      </c>
      <c r="Q1597" s="6" t="s">
        <v>395</v>
      </c>
      <c r="R1597" s="6" t="s">
        <v>770</v>
      </c>
      <c r="S1597" s="38" t="s">
        <v>637</v>
      </c>
      <c r="T1597" s="26">
        <v>30</v>
      </c>
    </row>
    <row r="1598" spans="1:20" s="42" customFormat="1" ht="63.75">
      <c r="A1598" s="41"/>
      <c r="B1598" s="6">
        <v>1582</v>
      </c>
      <c r="C1598" s="16" t="s">
        <v>714</v>
      </c>
      <c r="D1598" s="38" t="s">
        <v>601</v>
      </c>
      <c r="E1598" s="38" t="s">
        <v>593</v>
      </c>
      <c r="F1598" s="70" t="s">
        <v>2053</v>
      </c>
      <c r="G1598" s="70" t="s">
        <v>713</v>
      </c>
      <c r="H1598" s="70" t="s">
        <v>2053</v>
      </c>
      <c r="I1598" s="70" t="s">
        <v>594</v>
      </c>
      <c r="J1598" s="70" t="s">
        <v>2054</v>
      </c>
      <c r="K1598" s="70" t="s">
        <v>87</v>
      </c>
      <c r="L1598" s="70" t="s">
        <v>595</v>
      </c>
      <c r="M1598" s="12" t="s">
        <v>918</v>
      </c>
      <c r="N1598" s="26">
        <v>1</v>
      </c>
      <c r="O1598" s="57">
        <f t="shared" si="35"/>
        <v>2035132</v>
      </c>
      <c r="P1598" s="62">
        <v>2035132</v>
      </c>
      <c r="Q1598" s="6" t="s">
        <v>395</v>
      </c>
      <c r="R1598" s="6" t="s">
        <v>770</v>
      </c>
      <c r="S1598" s="38">
        <v>311000000</v>
      </c>
      <c r="T1598" s="26">
        <v>30</v>
      </c>
    </row>
    <row r="1599" spans="1:20" s="45" customFormat="1" ht="63.75">
      <c r="A1599" s="44"/>
      <c r="B1599" s="6">
        <v>1583</v>
      </c>
      <c r="C1599" s="16" t="s">
        <v>714</v>
      </c>
      <c r="D1599" s="38" t="s">
        <v>601</v>
      </c>
      <c r="E1599" s="38" t="s">
        <v>593</v>
      </c>
      <c r="F1599" s="70" t="s">
        <v>2053</v>
      </c>
      <c r="G1599" s="70" t="s">
        <v>713</v>
      </c>
      <c r="H1599" s="70" t="s">
        <v>2053</v>
      </c>
      <c r="I1599" s="70" t="s">
        <v>594</v>
      </c>
      <c r="J1599" s="70" t="s">
        <v>2054</v>
      </c>
      <c r="K1599" s="70" t="s">
        <v>87</v>
      </c>
      <c r="L1599" s="70" t="s">
        <v>595</v>
      </c>
      <c r="M1599" s="12" t="s">
        <v>918</v>
      </c>
      <c r="N1599" s="26">
        <v>1</v>
      </c>
      <c r="O1599" s="57">
        <f t="shared" si="35"/>
        <v>2189864</v>
      </c>
      <c r="P1599" s="62">
        <v>2189864</v>
      </c>
      <c r="Q1599" s="6" t="s">
        <v>395</v>
      </c>
      <c r="R1599" s="6" t="s">
        <v>770</v>
      </c>
      <c r="S1599" s="38" t="s">
        <v>2032</v>
      </c>
      <c r="T1599" s="26">
        <v>30</v>
      </c>
    </row>
    <row r="1600" spans="1:20" s="14" customFormat="1" ht="63.75">
      <c r="A1600" s="2"/>
      <c r="B1600" s="6">
        <v>1584</v>
      </c>
      <c r="C1600" s="16" t="s">
        <v>714</v>
      </c>
      <c r="D1600" s="38" t="s">
        <v>601</v>
      </c>
      <c r="E1600" s="38" t="s">
        <v>593</v>
      </c>
      <c r="F1600" s="70" t="s">
        <v>2053</v>
      </c>
      <c r="G1600" s="70" t="s">
        <v>713</v>
      </c>
      <c r="H1600" s="70" t="s">
        <v>2053</v>
      </c>
      <c r="I1600" s="70" t="s">
        <v>594</v>
      </c>
      <c r="J1600" s="70" t="s">
        <v>2054</v>
      </c>
      <c r="K1600" s="70" t="s">
        <v>87</v>
      </c>
      <c r="L1600" s="70" t="s">
        <v>595</v>
      </c>
      <c r="M1600" s="12" t="s">
        <v>918</v>
      </c>
      <c r="N1600" s="26">
        <v>1</v>
      </c>
      <c r="O1600" s="57">
        <f t="shared" si="35"/>
        <v>3333000</v>
      </c>
      <c r="P1600" s="62">
        <f>3335714-2714</f>
        <v>3333000</v>
      </c>
      <c r="Q1600" s="6" t="s">
        <v>395</v>
      </c>
      <c r="R1600" s="6" t="s">
        <v>770</v>
      </c>
      <c r="S1600" s="38">
        <v>351000000</v>
      </c>
      <c r="T1600" s="26">
        <v>30</v>
      </c>
    </row>
    <row r="1601" spans="1:20" ht="63.75">
      <c r="B1601" s="6">
        <v>1585</v>
      </c>
      <c r="C1601" s="16" t="s">
        <v>714</v>
      </c>
      <c r="D1601" s="38" t="s">
        <v>601</v>
      </c>
      <c r="E1601" s="38" t="s">
        <v>593</v>
      </c>
      <c r="F1601" s="70" t="s">
        <v>2053</v>
      </c>
      <c r="G1601" s="70" t="s">
        <v>713</v>
      </c>
      <c r="H1601" s="70" t="s">
        <v>2053</v>
      </c>
      <c r="I1601" s="70" t="s">
        <v>594</v>
      </c>
      <c r="J1601" s="70" t="s">
        <v>2054</v>
      </c>
      <c r="K1601" s="70" t="s">
        <v>87</v>
      </c>
      <c r="L1601" s="70" t="s">
        <v>595</v>
      </c>
      <c r="M1601" s="12" t="s">
        <v>918</v>
      </c>
      <c r="N1601" s="26">
        <v>1</v>
      </c>
      <c r="O1601" s="57">
        <f t="shared" si="35"/>
        <v>1911951</v>
      </c>
      <c r="P1601" s="62">
        <v>1911951</v>
      </c>
      <c r="Q1601" s="6" t="s">
        <v>395</v>
      </c>
      <c r="R1601" s="6" t="s">
        <v>770</v>
      </c>
      <c r="S1601" s="38" t="s">
        <v>929</v>
      </c>
      <c r="T1601" s="26">
        <v>30</v>
      </c>
    </row>
    <row r="1602" spans="1:20" s="14" customFormat="1" ht="63.75">
      <c r="A1602" s="2"/>
      <c r="B1602" s="6">
        <v>1586</v>
      </c>
      <c r="C1602" s="16" t="s">
        <v>714</v>
      </c>
      <c r="D1602" s="38" t="s">
        <v>601</v>
      </c>
      <c r="E1602" s="38" t="s">
        <v>593</v>
      </c>
      <c r="F1602" s="70" t="s">
        <v>2053</v>
      </c>
      <c r="G1602" s="70" t="s">
        <v>713</v>
      </c>
      <c r="H1602" s="70" t="s">
        <v>2053</v>
      </c>
      <c r="I1602" s="70" t="s">
        <v>594</v>
      </c>
      <c r="J1602" s="70" t="s">
        <v>2054</v>
      </c>
      <c r="K1602" s="70" t="s">
        <v>87</v>
      </c>
      <c r="L1602" s="70" t="s">
        <v>595</v>
      </c>
      <c r="M1602" s="12" t="s">
        <v>918</v>
      </c>
      <c r="N1602" s="26">
        <v>1</v>
      </c>
      <c r="O1602" s="57">
        <f t="shared" si="35"/>
        <v>1602104</v>
      </c>
      <c r="P1602" s="62">
        <v>1602104</v>
      </c>
      <c r="Q1602" s="6" t="s">
        <v>395</v>
      </c>
      <c r="R1602" s="6" t="s">
        <v>770</v>
      </c>
      <c r="S1602" s="38">
        <v>431000000</v>
      </c>
      <c r="T1602" s="26">
        <v>30</v>
      </c>
    </row>
    <row r="1603" spans="1:20" s="14" customFormat="1" ht="63.75">
      <c r="A1603" s="2"/>
      <c r="B1603" s="6">
        <v>1587</v>
      </c>
      <c r="C1603" s="36" t="s">
        <v>714</v>
      </c>
      <c r="D1603" s="6" t="s">
        <v>601</v>
      </c>
      <c r="E1603" s="38" t="s">
        <v>593</v>
      </c>
      <c r="F1603" s="70" t="s">
        <v>2053</v>
      </c>
      <c r="G1603" s="70" t="s">
        <v>713</v>
      </c>
      <c r="H1603" s="70" t="s">
        <v>2053</v>
      </c>
      <c r="I1603" s="70" t="s">
        <v>594</v>
      </c>
      <c r="J1603" s="70" t="s">
        <v>2054</v>
      </c>
      <c r="K1603" s="70" t="s">
        <v>87</v>
      </c>
      <c r="L1603" s="70" t="s">
        <v>595</v>
      </c>
      <c r="M1603" s="12" t="s">
        <v>918</v>
      </c>
      <c r="N1603" s="65">
        <v>1</v>
      </c>
      <c r="O1603" s="57">
        <f t="shared" si="35"/>
        <v>2310480</v>
      </c>
      <c r="P1603" s="62">
        <v>2310480</v>
      </c>
      <c r="Q1603" s="6" t="s">
        <v>395</v>
      </c>
      <c r="R1603" s="6" t="s">
        <v>770</v>
      </c>
      <c r="S1603" s="38" t="s">
        <v>719</v>
      </c>
      <c r="T1603" s="26">
        <v>30</v>
      </c>
    </row>
    <row r="1604" spans="1:20" s="39" customFormat="1" ht="63.75">
      <c r="B1604" s="6">
        <v>1588</v>
      </c>
      <c r="C1604" s="16" t="s">
        <v>714</v>
      </c>
      <c r="D1604" s="38" t="s">
        <v>601</v>
      </c>
      <c r="E1604" s="38" t="s">
        <v>593</v>
      </c>
      <c r="F1604" s="70" t="s">
        <v>2053</v>
      </c>
      <c r="G1604" s="70" t="s">
        <v>713</v>
      </c>
      <c r="H1604" s="70" t="s">
        <v>2053</v>
      </c>
      <c r="I1604" s="70" t="s">
        <v>594</v>
      </c>
      <c r="J1604" s="70" t="s">
        <v>2054</v>
      </c>
      <c r="K1604" s="70" t="s">
        <v>87</v>
      </c>
      <c r="L1604" s="70" t="s">
        <v>595</v>
      </c>
      <c r="M1604" s="12" t="s">
        <v>918</v>
      </c>
      <c r="N1604" s="26">
        <v>1</v>
      </c>
      <c r="O1604" s="57">
        <f t="shared" si="35"/>
        <v>2179267</v>
      </c>
      <c r="P1604" s="62">
        <v>2179267</v>
      </c>
      <c r="Q1604" s="6" t="s">
        <v>395</v>
      </c>
      <c r="R1604" s="6" t="s">
        <v>770</v>
      </c>
      <c r="S1604" s="38">
        <v>551000000</v>
      </c>
      <c r="T1604" s="26">
        <v>30</v>
      </c>
    </row>
    <row r="1605" spans="1:20" s="14" customFormat="1" ht="63.75">
      <c r="A1605" s="2"/>
      <c r="B1605" s="6">
        <v>1589</v>
      </c>
      <c r="C1605" s="16" t="s">
        <v>945</v>
      </c>
      <c r="D1605" s="6" t="s">
        <v>601</v>
      </c>
      <c r="E1605" s="38" t="s">
        <v>593</v>
      </c>
      <c r="F1605" s="70" t="s">
        <v>2053</v>
      </c>
      <c r="G1605" s="70" t="s">
        <v>713</v>
      </c>
      <c r="H1605" s="70" t="s">
        <v>2053</v>
      </c>
      <c r="I1605" s="70" t="s">
        <v>594</v>
      </c>
      <c r="J1605" s="70" t="s">
        <v>2054</v>
      </c>
      <c r="K1605" s="70" t="s">
        <v>87</v>
      </c>
      <c r="L1605" s="70" t="s">
        <v>595</v>
      </c>
      <c r="M1605" s="12" t="s">
        <v>918</v>
      </c>
      <c r="N1605" s="26">
        <v>1</v>
      </c>
      <c r="O1605" s="57">
        <f t="shared" si="35"/>
        <v>1455200</v>
      </c>
      <c r="P1605" s="62">
        <f>1595227-140027</f>
        <v>1455200</v>
      </c>
      <c r="Q1605" s="6" t="s">
        <v>395</v>
      </c>
      <c r="R1605" s="6" t="s">
        <v>770</v>
      </c>
      <c r="S1605" s="38">
        <v>591000000</v>
      </c>
      <c r="T1605" s="26">
        <v>30</v>
      </c>
    </row>
    <row r="1606" spans="1:20" s="14" customFormat="1" ht="63.75">
      <c r="A1606" s="2"/>
      <c r="B1606" s="6">
        <v>1590</v>
      </c>
      <c r="C1606" s="16" t="s">
        <v>714</v>
      </c>
      <c r="D1606" s="38" t="s">
        <v>601</v>
      </c>
      <c r="E1606" s="38" t="s">
        <v>593</v>
      </c>
      <c r="F1606" s="70" t="s">
        <v>2053</v>
      </c>
      <c r="G1606" s="70" t="s">
        <v>713</v>
      </c>
      <c r="H1606" s="70" t="s">
        <v>2053</v>
      </c>
      <c r="I1606" s="70" t="s">
        <v>594</v>
      </c>
      <c r="J1606" s="70" t="s">
        <v>2054</v>
      </c>
      <c r="K1606" s="70" t="s">
        <v>87</v>
      </c>
      <c r="L1606" s="70" t="s">
        <v>595</v>
      </c>
      <c r="M1606" s="12" t="s">
        <v>918</v>
      </c>
      <c r="N1606" s="26">
        <v>1</v>
      </c>
      <c r="O1606" s="57">
        <f t="shared" si="35"/>
        <v>3982380</v>
      </c>
      <c r="P1606" s="62">
        <f>4153346-170966</f>
        <v>3982380</v>
      </c>
      <c r="Q1606" s="6" t="s">
        <v>395</v>
      </c>
      <c r="R1606" s="6" t="s">
        <v>770</v>
      </c>
      <c r="S1606" s="38" t="s">
        <v>2037</v>
      </c>
      <c r="T1606" s="26">
        <v>30</v>
      </c>
    </row>
    <row r="1607" spans="1:20" s="14" customFormat="1" ht="63.75">
      <c r="A1607" s="2"/>
      <c r="B1607" s="6">
        <v>1591</v>
      </c>
      <c r="C1607" s="36" t="s">
        <v>714</v>
      </c>
      <c r="D1607" s="43" t="s">
        <v>601</v>
      </c>
      <c r="E1607" s="38" t="s">
        <v>617</v>
      </c>
      <c r="F1607" s="70" t="s">
        <v>2027</v>
      </c>
      <c r="G1607" s="70" t="s">
        <v>618</v>
      </c>
      <c r="H1607" s="70" t="s">
        <v>2324</v>
      </c>
      <c r="I1607" s="70" t="s">
        <v>619</v>
      </c>
      <c r="J1607" s="70" t="s">
        <v>2325</v>
      </c>
      <c r="K1607" s="70" t="s">
        <v>340</v>
      </c>
      <c r="L1607" s="70" t="s">
        <v>595</v>
      </c>
      <c r="M1607" s="12" t="s">
        <v>918</v>
      </c>
      <c r="N1607" s="26">
        <v>1</v>
      </c>
      <c r="O1607" s="57">
        <f>P1607/N1607</f>
        <v>748530</v>
      </c>
      <c r="P1607" s="62">
        <f>760714-12184</f>
        <v>748530</v>
      </c>
      <c r="Q1607" s="6" t="s">
        <v>395</v>
      </c>
      <c r="R1607" s="6" t="s">
        <v>770</v>
      </c>
      <c r="S1607" s="38" t="s">
        <v>2038</v>
      </c>
      <c r="T1607" s="26">
        <v>30</v>
      </c>
    </row>
    <row r="1608" spans="1:20" s="14" customFormat="1" ht="63.75">
      <c r="A1608" s="2"/>
      <c r="B1608" s="6">
        <v>1592</v>
      </c>
      <c r="C1608" s="36" t="s">
        <v>714</v>
      </c>
      <c r="D1608" s="43" t="s">
        <v>601</v>
      </c>
      <c r="E1608" s="38" t="s">
        <v>617</v>
      </c>
      <c r="F1608" s="70" t="s">
        <v>2027</v>
      </c>
      <c r="G1608" s="70" t="s">
        <v>618</v>
      </c>
      <c r="H1608" s="70" t="s">
        <v>2324</v>
      </c>
      <c r="I1608" s="70" t="s">
        <v>619</v>
      </c>
      <c r="J1608" s="70" t="s">
        <v>2325</v>
      </c>
      <c r="K1608" s="70" t="s">
        <v>340</v>
      </c>
      <c r="L1608" s="70" t="s">
        <v>595</v>
      </c>
      <c r="M1608" s="12" t="s">
        <v>918</v>
      </c>
      <c r="N1608" s="26">
        <v>1</v>
      </c>
      <c r="O1608" s="57">
        <f t="shared" ref="O1608:O1619" si="36">P1608/N1608</f>
        <v>740400</v>
      </c>
      <c r="P1608" s="62">
        <f>760714-20314</f>
        <v>740400</v>
      </c>
      <c r="Q1608" s="6" t="s">
        <v>395</v>
      </c>
      <c r="R1608" s="6" t="s">
        <v>770</v>
      </c>
      <c r="S1608" s="38" t="s">
        <v>1025</v>
      </c>
      <c r="T1608" s="26">
        <v>30</v>
      </c>
    </row>
    <row r="1609" spans="1:20" s="14" customFormat="1" ht="63.75">
      <c r="A1609" s="2"/>
      <c r="B1609" s="6">
        <v>1593</v>
      </c>
      <c r="C1609" s="36" t="s">
        <v>714</v>
      </c>
      <c r="D1609" s="43" t="s">
        <v>601</v>
      </c>
      <c r="E1609" s="38" t="s">
        <v>617</v>
      </c>
      <c r="F1609" s="70" t="s">
        <v>2027</v>
      </c>
      <c r="G1609" s="70" t="s">
        <v>618</v>
      </c>
      <c r="H1609" s="70" t="s">
        <v>2324</v>
      </c>
      <c r="I1609" s="70" t="s">
        <v>619</v>
      </c>
      <c r="J1609" s="70" t="s">
        <v>2325</v>
      </c>
      <c r="K1609" s="70" t="s">
        <v>340</v>
      </c>
      <c r="L1609" s="70" t="s">
        <v>595</v>
      </c>
      <c r="M1609" s="12" t="s">
        <v>918</v>
      </c>
      <c r="N1609" s="26">
        <v>1</v>
      </c>
      <c r="O1609" s="57">
        <f t="shared" si="36"/>
        <v>1130000</v>
      </c>
      <c r="P1609" s="62">
        <f>1150000-20000</f>
        <v>1130000</v>
      </c>
      <c r="Q1609" s="6" t="s">
        <v>395</v>
      </c>
      <c r="R1609" s="6" t="s">
        <v>770</v>
      </c>
      <c r="S1609" s="38" t="s">
        <v>793</v>
      </c>
      <c r="T1609" s="26">
        <v>30</v>
      </c>
    </row>
    <row r="1610" spans="1:20" s="14" customFormat="1" ht="63.75">
      <c r="A1610" s="17"/>
      <c r="B1610" s="6">
        <v>1594</v>
      </c>
      <c r="C1610" s="36" t="s">
        <v>714</v>
      </c>
      <c r="D1610" s="43" t="s">
        <v>601</v>
      </c>
      <c r="E1610" s="38" t="s">
        <v>617</v>
      </c>
      <c r="F1610" s="70" t="s">
        <v>2027</v>
      </c>
      <c r="G1610" s="70" t="s">
        <v>618</v>
      </c>
      <c r="H1610" s="70" t="s">
        <v>2324</v>
      </c>
      <c r="I1610" s="70" t="s">
        <v>619</v>
      </c>
      <c r="J1610" s="70" t="s">
        <v>2325</v>
      </c>
      <c r="K1610" s="70" t="s">
        <v>340</v>
      </c>
      <c r="L1610" s="70" t="s">
        <v>595</v>
      </c>
      <c r="M1610" s="12" t="s">
        <v>918</v>
      </c>
      <c r="N1610" s="26">
        <v>1</v>
      </c>
      <c r="O1610" s="57">
        <f t="shared" si="36"/>
        <v>610714</v>
      </c>
      <c r="P1610" s="62">
        <v>610714</v>
      </c>
      <c r="Q1610" s="6" t="s">
        <v>395</v>
      </c>
      <c r="R1610" s="6" t="s">
        <v>770</v>
      </c>
      <c r="S1610" s="38" t="s">
        <v>2031</v>
      </c>
      <c r="T1610" s="26">
        <v>30</v>
      </c>
    </row>
    <row r="1611" spans="1:20" ht="63.75">
      <c r="B1611" s="6">
        <v>1595</v>
      </c>
      <c r="C1611" s="36" t="s">
        <v>714</v>
      </c>
      <c r="D1611" s="43" t="s">
        <v>601</v>
      </c>
      <c r="E1611" s="38" t="s">
        <v>617</v>
      </c>
      <c r="F1611" s="70" t="s">
        <v>2027</v>
      </c>
      <c r="G1611" s="70" t="s">
        <v>618</v>
      </c>
      <c r="H1611" s="70" t="s">
        <v>2324</v>
      </c>
      <c r="I1611" s="70" t="s">
        <v>619</v>
      </c>
      <c r="J1611" s="70" t="s">
        <v>2325</v>
      </c>
      <c r="K1611" s="70" t="s">
        <v>340</v>
      </c>
      <c r="L1611" s="70" t="s">
        <v>595</v>
      </c>
      <c r="M1611" s="12" t="s">
        <v>918</v>
      </c>
      <c r="N1611" s="26">
        <v>1</v>
      </c>
      <c r="O1611" s="57">
        <f t="shared" si="36"/>
        <v>1100000</v>
      </c>
      <c r="P1611" s="62">
        <f>1150000-50000</f>
        <v>1100000</v>
      </c>
      <c r="Q1611" s="6" t="s">
        <v>395</v>
      </c>
      <c r="R1611" s="6" t="s">
        <v>770</v>
      </c>
      <c r="S1611" s="38" t="s">
        <v>637</v>
      </c>
      <c r="T1611" s="26">
        <v>30</v>
      </c>
    </row>
    <row r="1612" spans="1:20" s="42" customFormat="1" ht="63.75">
      <c r="A1612" s="41"/>
      <c r="B1612" s="6">
        <v>1596</v>
      </c>
      <c r="C1612" s="36" t="s">
        <v>714</v>
      </c>
      <c r="D1612" s="43" t="s">
        <v>601</v>
      </c>
      <c r="E1612" s="38" t="s">
        <v>617</v>
      </c>
      <c r="F1612" s="70" t="s">
        <v>2027</v>
      </c>
      <c r="G1612" s="70" t="s">
        <v>618</v>
      </c>
      <c r="H1612" s="70" t="s">
        <v>2324</v>
      </c>
      <c r="I1612" s="70" t="s">
        <v>619</v>
      </c>
      <c r="J1612" s="70" t="s">
        <v>2325</v>
      </c>
      <c r="K1612" s="70" t="s">
        <v>340</v>
      </c>
      <c r="L1612" s="70" t="s">
        <v>595</v>
      </c>
      <c r="M1612" s="12" t="s">
        <v>918</v>
      </c>
      <c r="N1612" s="26">
        <v>1</v>
      </c>
      <c r="O1612" s="57">
        <f t="shared" si="36"/>
        <v>560714</v>
      </c>
      <c r="P1612" s="62">
        <v>560714</v>
      </c>
      <c r="Q1612" s="6" t="s">
        <v>395</v>
      </c>
      <c r="R1612" s="6" t="s">
        <v>770</v>
      </c>
      <c r="S1612" s="38">
        <v>311000000</v>
      </c>
      <c r="T1612" s="26">
        <v>30</v>
      </c>
    </row>
    <row r="1613" spans="1:20" s="14" customFormat="1" ht="63.75">
      <c r="A1613" s="2"/>
      <c r="B1613" s="6">
        <v>1597</v>
      </c>
      <c r="C1613" s="36" t="s">
        <v>714</v>
      </c>
      <c r="D1613" s="43" t="s">
        <v>601</v>
      </c>
      <c r="E1613" s="38" t="s">
        <v>617</v>
      </c>
      <c r="F1613" s="70" t="s">
        <v>2027</v>
      </c>
      <c r="G1613" s="70" t="s">
        <v>618</v>
      </c>
      <c r="H1613" s="70" t="s">
        <v>2324</v>
      </c>
      <c r="I1613" s="70" t="s">
        <v>619</v>
      </c>
      <c r="J1613" s="70" t="s">
        <v>2325</v>
      </c>
      <c r="K1613" s="70" t="s">
        <v>340</v>
      </c>
      <c r="L1613" s="70" t="s">
        <v>595</v>
      </c>
      <c r="M1613" s="12" t="s">
        <v>918</v>
      </c>
      <c r="N1613" s="26">
        <v>1</v>
      </c>
      <c r="O1613" s="57">
        <f t="shared" si="36"/>
        <v>614286</v>
      </c>
      <c r="P1613" s="62">
        <v>614286</v>
      </c>
      <c r="Q1613" s="6" t="s">
        <v>395</v>
      </c>
      <c r="R1613" s="6" t="s">
        <v>770</v>
      </c>
      <c r="S1613" s="38" t="s">
        <v>2032</v>
      </c>
      <c r="T1613" s="26">
        <v>30</v>
      </c>
    </row>
    <row r="1614" spans="1:20" s="14" customFormat="1" ht="63.75">
      <c r="A1614" s="2"/>
      <c r="B1614" s="6">
        <v>1598</v>
      </c>
      <c r="C1614" s="36" t="s">
        <v>714</v>
      </c>
      <c r="D1614" s="43" t="s">
        <v>601</v>
      </c>
      <c r="E1614" s="38" t="s">
        <v>617</v>
      </c>
      <c r="F1614" s="70" t="s">
        <v>2027</v>
      </c>
      <c r="G1614" s="70" t="s">
        <v>618</v>
      </c>
      <c r="H1614" s="70" t="s">
        <v>2324</v>
      </c>
      <c r="I1614" s="70" t="s">
        <v>619</v>
      </c>
      <c r="J1614" s="70" t="s">
        <v>2325</v>
      </c>
      <c r="K1614" s="70" t="s">
        <v>340</v>
      </c>
      <c r="L1614" s="70" t="s">
        <v>595</v>
      </c>
      <c r="M1614" s="12" t="s">
        <v>918</v>
      </c>
      <c r="N1614" s="26">
        <v>1</v>
      </c>
      <c r="O1614" s="57">
        <f t="shared" si="36"/>
        <v>1224000</v>
      </c>
      <c r="P1614" s="62">
        <f>1250000-26000</f>
        <v>1224000</v>
      </c>
      <c r="Q1614" s="6" t="s">
        <v>395</v>
      </c>
      <c r="R1614" s="6" t="s">
        <v>770</v>
      </c>
      <c r="S1614" s="38">
        <v>351000000</v>
      </c>
      <c r="T1614" s="26">
        <v>30</v>
      </c>
    </row>
    <row r="1615" spans="1:20" ht="63.75">
      <c r="B1615" s="6">
        <v>1599</v>
      </c>
      <c r="C1615" s="36" t="s">
        <v>714</v>
      </c>
      <c r="D1615" s="43" t="s">
        <v>601</v>
      </c>
      <c r="E1615" s="38" t="s">
        <v>617</v>
      </c>
      <c r="F1615" s="70" t="s">
        <v>2027</v>
      </c>
      <c r="G1615" s="70" t="s">
        <v>618</v>
      </c>
      <c r="H1615" s="70" t="s">
        <v>2324</v>
      </c>
      <c r="I1615" s="70" t="s">
        <v>619</v>
      </c>
      <c r="J1615" s="70" t="s">
        <v>2325</v>
      </c>
      <c r="K1615" s="70" t="s">
        <v>340</v>
      </c>
      <c r="L1615" s="70" t="s">
        <v>595</v>
      </c>
      <c r="M1615" s="12" t="s">
        <v>918</v>
      </c>
      <c r="N1615" s="26">
        <v>1</v>
      </c>
      <c r="O1615" s="57">
        <f t="shared" si="36"/>
        <v>650000</v>
      </c>
      <c r="P1615" s="62">
        <v>650000</v>
      </c>
      <c r="Q1615" s="6" t="s">
        <v>395</v>
      </c>
      <c r="R1615" s="6" t="s">
        <v>770</v>
      </c>
      <c r="S1615" s="38" t="s">
        <v>929</v>
      </c>
      <c r="T1615" s="26">
        <v>30</v>
      </c>
    </row>
    <row r="1616" spans="1:20" s="14" customFormat="1" ht="63.75">
      <c r="A1616" s="2"/>
      <c r="B1616" s="6">
        <v>1600</v>
      </c>
      <c r="C1616" s="36" t="s">
        <v>714</v>
      </c>
      <c r="D1616" s="43" t="s">
        <v>601</v>
      </c>
      <c r="E1616" s="38" t="s">
        <v>617</v>
      </c>
      <c r="F1616" s="70" t="s">
        <v>2027</v>
      </c>
      <c r="G1616" s="70" t="s">
        <v>618</v>
      </c>
      <c r="H1616" s="70" t="s">
        <v>2324</v>
      </c>
      <c r="I1616" s="70" t="s">
        <v>619</v>
      </c>
      <c r="J1616" s="70" t="s">
        <v>2325</v>
      </c>
      <c r="K1616" s="70" t="s">
        <v>340</v>
      </c>
      <c r="L1616" s="70" t="s">
        <v>595</v>
      </c>
      <c r="M1616" s="12" t="s">
        <v>918</v>
      </c>
      <c r="N1616" s="26">
        <v>1</v>
      </c>
      <c r="O1616" s="57">
        <f t="shared" si="36"/>
        <v>650000</v>
      </c>
      <c r="P1616" s="62">
        <v>650000</v>
      </c>
      <c r="Q1616" s="6" t="s">
        <v>395</v>
      </c>
      <c r="R1616" s="6" t="s">
        <v>770</v>
      </c>
      <c r="S1616" s="38" t="s">
        <v>2519</v>
      </c>
      <c r="T1616" s="26">
        <v>30</v>
      </c>
    </row>
    <row r="1617" spans="1:20" s="39" customFormat="1" ht="63.75">
      <c r="B1617" s="6">
        <v>1601</v>
      </c>
      <c r="C1617" s="36" t="s">
        <v>714</v>
      </c>
      <c r="D1617" s="43" t="s">
        <v>601</v>
      </c>
      <c r="E1617" s="38" t="s">
        <v>617</v>
      </c>
      <c r="F1617" s="70" t="s">
        <v>2027</v>
      </c>
      <c r="G1617" s="70" t="s">
        <v>618</v>
      </c>
      <c r="H1617" s="70" t="s">
        <v>2324</v>
      </c>
      <c r="I1617" s="70" t="s">
        <v>619</v>
      </c>
      <c r="J1617" s="70" t="s">
        <v>2325</v>
      </c>
      <c r="K1617" s="70" t="s">
        <v>340</v>
      </c>
      <c r="L1617" s="70" t="s">
        <v>595</v>
      </c>
      <c r="M1617" s="12" t="s">
        <v>918</v>
      </c>
      <c r="N1617" s="26">
        <v>1</v>
      </c>
      <c r="O1617" s="57">
        <f t="shared" si="36"/>
        <v>850000</v>
      </c>
      <c r="P1617" s="62">
        <v>850000</v>
      </c>
      <c r="Q1617" s="6" t="s">
        <v>395</v>
      </c>
      <c r="R1617" s="6" t="s">
        <v>770</v>
      </c>
      <c r="S1617" s="38">
        <v>551000000</v>
      </c>
      <c r="T1617" s="26">
        <v>30</v>
      </c>
    </row>
    <row r="1618" spans="1:20" s="14" customFormat="1" ht="63.75">
      <c r="A1618" s="2"/>
      <c r="B1618" s="6">
        <v>1602</v>
      </c>
      <c r="C1618" s="36" t="s">
        <v>714</v>
      </c>
      <c r="D1618" s="43" t="s">
        <v>601</v>
      </c>
      <c r="E1618" s="38" t="s">
        <v>617</v>
      </c>
      <c r="F1618" s="70" t="s">
        <v>2027</v>
      </c>
      <c r="G1618" s="70" t="s">
        <v>618</v>
      </c>
      <c r="H1618" s="70" t="s">
        <v>2324</v>
      </c>
      <c r="I1618" s="70" t="s">
        <v>619</v>
      </c>
      <c r="J1618" s="70" t="s">
        <v>2325</v>
      </c>
      <c r="K1618" s="70" t="s">
        <v>340</v>
      </c>
      <c r="L1618" s="70" t="s">
        <v>595</v>
      </c>
      <c r="M1618" s="12" t="s">
        <v>918</v>
      </c>
      <c r="N1618" s="26">
        <v>1</v>
      </c>
      <c r="O1618" s="57">
        <f t="shared" si="36"/>
        <v>700000</v>
      </c>
      <c r="P1618" s="62">
        <v>700000</v>
      </c>
      <c r="Q1618" s="6" t="s">
        <v>616</v>
      </c>
      <c r="R1618" s="6" t="s">
        <v>770</v>
      </c>
      <c r="S1618" s="38">
        <v>591000000</v>
      </c>
      <c r="T1618" s="26">
        <v>30</v>
      </c>
    </row>
    <row r="1619" spans="1:20" s="14" customFormat="1" ht="63.75">
      <c r="A1619" s="2"/>
      <c r="B1619" s="6">
        <v>1603</v>
      </c>
      <c r="C1619" s="36" t="s">
        <v>714</v>
      </c>
      <c r="D1619" s="43" t="s">
        <v>601</v>
      </c>
      <c r="E1619" s="38" t="s">
        <v>617</v>
      </c>
      <c r="F1619" s="70" t="s">
        <v>2027</v>
      </c>
      <c r="G1619" s="70" t="s">
        <v>618</v>
      </c>
      <c r="H1619" s="70" t="s">
        <v>2324</v>
      </c>
      <c r="I1619" s="70" t="s">
        <v>619</v>
      </c>
      <c r="J1619" s="70" t="s">
        <v>2325</v>
      </c>
      <c r="K1619" s="70" t="s">
        <v>340</v>
      </c>
      <c r="L1619" s="70" t="s">
        <v>595</v>
      </c>
      <c r="M1619" s="12" t="s">
        <v>918</v>
      </c>
      <c r="N1619" s="26">
        <v>1</v>
      </c>
      <c r="O1619" s="57">
        <f t="shared" si="36"/>
        <v>394216</v>
      </c>
      <c r="P1619" s="62">
        <f>1450000-1055784</f>
        <v>394216</v>
      </c>
      <c r="Q1619" s="6" t="s">
        <v>395</v>
      </c>
      <c r="R1619" s="6" t="s">
        <v>770</v>
      </c>
      <c r="S1619" s="38" t="s">
        <v>2037</v>
      </c>
      <c r="T1619" s="26">
        <v>30</v>
      </c>
    </row>
    <row r="1620" spans="1:20" s="14" customFormat="1" ht="51">
      <c r="A1620" s="2"/>
      <c r="B1620" s="6">
        <v>1604</v>
      </c>
      <c r="C1620" s="36" t="s">
        <v>714</v>
      </c>
      <c r="D1620" s="43" t="s">
        <v>601</v>
      </c>
      <c r="E1620" s="38" t="s">
        <v>596</v>
      </c>
      <c r="F1620" s="70" t="s">
        <v>2050</v>
      </c>
      <c r="G1620" s="70" t="s">
        <v>598</v>
      </c>
      <c r="H1620" s="70" t="s">
        <v>2051</v>
      </c>
      <c r="I1620" s="70" t="s">
        <v>2052</v>
      </c>
      <c r="J1620" s="70" t="s">
        <v>2051</v>
      </c>
      <c r="K1620" s="70" t="s">
        <v>118</v>
      </c>
      <c r="L1620" s="70" t="s">
        <v>595</v>
      </c>
      <c r="M1620" s="12" t="s">
        <v>918</v>
      </c>
      <c r="N1620" s="26">
        <v>1</v>
      </c>
      <c r="O1620" s="57">
        <v>411671</v>
      </c>
      <c r="P1620" s="62">
        <f t="shared" si="33"/>
        <v>411671</v>
      </c>
      <c r="Q1620" s="6" t="s">
        <v>395</v>
      </c>
      <c r="R1620" s="6" t="s">
        <v>770</v>
      </c>
      <c r="S1620" s="38" t="s">
        <v>2038</v>
      </c>
      <c r="T1620" s="26">
        <v>100</v>
      </c>
    </row>
    <row r="1621" spans="1:20" s="14" customFormat="1" ht="51">
      <c r="A1621" s="2"/>
      <c r="B1621" s="6">
        <v>1605</v>
      </c>
      <c r="C1621" s="16" t="s">
        <v>714</v>
      </c>
      <c r="D1621" s="38" t="s">
        <v>601</v>
      </c>
      <c r="E1621" s="38" t="s">
        <v>596</v>
      </c>
      <c r="F1621" s="70" t="s">
        <v>2050</v>
      </c>
      <c r="G1621" s="70" t="s">
        <v>598</v>
      </c>
      <c r="H1621" s="70" t="s">
        <v>2051</v>
      </c>
      <c r="I1621" s="70" t="s">
        <v>2052</v>
      </c>
      <c r="J1621" s="70" t="s">
        <v>2051</v>
      </c>
      <c r="K1621" s="70" t="s">
        <v>118</v>
      </c>
      <c r="L1621" s="70" t="s">
        <v>595</v>
      </c>
      <c r="M1621" s="12" t="s">
        <v>918</v>
      </c>
      <c r="N1621" s="26">
        <v>1</v>
      </c>
      <c r="O1621" s="57">
        <v>434586</v>
      </c>
      <c r="P1621" s="62">
        <f t="shared" si="33"/>
        <v>434586</v>
      </c>
      <c r="Q1621" s="6" t="s">
        <v>395</v>
      </c>
      <c r="R1621" s="6" t="s">
        <v>770</v>
      </c>
      <c r="S1621" s="38" t="s">
        <v>1025</v>
      </c>
      <c r="T1621" s="26">
        <v>100</v>
      </c>
    </row>
    <row r="1622" spans="1:20" s="14" customFormat="1" ht="51">
      <c r="A1622" s="2"/>
      <c r="B1622" s="6">
        <v>1606</v>
      </c>
      <c r="C1622" s="16" t="s">
        <v>714</v>
      </c>
      <c r="D1622" s="38" t="s">
        <v>601</v>
      </c>
      <c r="E1622" s="38" t="s">
        <v>596</v>
      </c>
      <c r="F1622" s="70" t="s">
        <v>2050</v>
      </c>
      <c r="G1622" s="70" t="s">
        <v>598</v>
      </c>
      <c r="H1622" s="70" t="s">
        <v>2051</v>
      </c>
      <c r="I1622" s="70" t="s">
        <v>2052</v>
      </c>
      <c r="J1622" s="70" t="s">
        <v>2051</v>
      </c>
      <c r="K1622" s="70" t="s">
        <v>118</v>
      </c>
      <c r="L1622" s="70" t="s">
        <v>595</v>
      </c>
      <c r="M1622" s="12" t="s">
        <v>918</v>
      </c>
      <c r="N1622" s="26">
        <v>1</v>
      </c>
      <c r="O1622" s="57">
        <v>997857</v>
      </c>
      <c r="P1622" s="62">
        <f t="shared" si="33"/>
        <v>997857</v>
      </c>
      <c r="Q1622" s="6" t="s">
        <v>395</v>
      </c>
      <c r="R1622" s="6" t="s">
        <v>770</v>
      </c>
      <c r="S1622" s="38" t="s">
        <v>793</v>
      </c>
      <c r="T1622" s="26">
        <v>100</v>
      </c>
    </row>
    <row r="1623" spans="1:20" s="14" customFormat="1" ht="51">
      <c r="A1623" s="2"/>
      <c r="B1623" s="6">
        <v>1607</v>
      </c>
      <c r="C1623" s="16" t="s">
        <v>714</v>
      </c>
      <c r="D1623" s="38" t="s">
        <v>601</v>
      </c>
      <c r="E1623" s="38" t="s">
        <v>596</v>
      </c>
      <c r="F1623" s="70" t="s">
        <v>2050</v>
      </c>
      <c r="G1623" s="70" t="s">
        <v>598</v>
      </c>
      <c r="H1623" s="70" t="s">
        <v>2051</v>
      </c>
      <c r="I1623" s="70" t="s">
        <v>2052</v>
      </c>
      <c r="J1623" s="70" t="s">
        <v>2051</v>
      </c>
      <c r="K1623" s="70" t="s">
        <v>118</v>
      </c>
      <c r="L1623" s="70" t="s">
        <v>595</v>
      </c>
      <c r="M1623" s="12" t="s">
        <v>918</v>
      </c>
      <c r="N1623" s="26">
        <v>1</v>
      </c>
      <c r="O1623" s="57">
        <v>566531</v>
      </c>
      <c r="P1623" s="62">
        <f t="shared" si="33"/>
        <v>566531</v>
      </c>
      <c r="Q1623" s="6" t="s">
        <v>395</v>
      </c>
      <c r="R1623" s="6" t="s">
        <v>770</v>
      </c>
      <c r="S1623" s="38" t="s">
        <v>2030</v>
      </c>
      <c r="T1623" s="26">
        <v>100</v>
      </c>
    </row>
    <row r="1624" spans="1:20" s="14" customFormat="1" ht="51">
      <c r="B1624" s="6">
        <v>1608</v>
      </c>
      <c r="C1624" s="16" t="s">
        <v>714</v>
      </c>
      <c r="D1624" s="38" t="s">
        <v>601</v>
      </c>
      <c r="E1624" s="38" t="s">
        <v>596</v>
      </c>
      <c r="F1624" s="70" t="s">
        <v>2050</v>
      </c>
      <c r="G1624" s="70" t="s">
        <v>598</v>
      </c>
      <c r="H1624" s="70" t="s">
        <v>2051</v>
      </c>
      <c r="I1624" s="70" t="s">
        <v>2052</v>
      </c>
      <c r="J1624" s="70" t="s">
        <v>2051</v>
      </c>
      <c r="K1624" s="70" t="s">
        <v>118</v>
      </c>
      <c r="L1624" s="70" t="s">
        <v>595</v>
      </c>
      <c r="M1624" s="12" t="s">
        <v>918</v>
      </c>
      <c r="N1624" s="26">
        <v>1</v>
      </c>
      <c r="O1624" s="57">
        <v>540571</v>
      </c>
      <c r="P1624" s="62">
        <f t="shared" si="33"/>
        <v>540571</v>
      </c>
      <c r="Q1624" s="6" t="s">
        <v>395</v>
      </c>
      <c r="R1624" s="6" t="s">
        <v>770</v>
      </c>
      <c r="S1624" s="38" t="s">
        <v>2035</v>
      </c>
      <c r="T1624" s="26">
        <v>100</v>
      </c>
    </row>
    <row r="1625" spans="1:20" s="14" customFormat="1" ht="51">
      <c r="A1625" s="17"/>
      <c r="B1625" s="6">
        <v>1609</v>
      </c>
      <c r="C1625" s="16" t="s">
        <v>714</v>
      </c>
      <c r="D1625" s="38" t="s">
        <v>601</v>
      </c>
      <c r="E1625" s="38" t="s">
        <v>596</v>
      </c>
      <c r="F1625" s="70" t="s">
        <v>2050</v>
      </c>
      <c r="G1625" s="70" t="s">
        <v>598</v>
      </c>
      <c r="H1625" s="70" t="s">
        <v>2051</v>
      </c>
      <c r="I1625" s="70" t="s">
        <v>2052</v>
      </c>
      <c r="J1625" s="70" t="s">
        <v>2051</v>
      </c>
      <c r="K1625" s="70" t="s">
        <v>118</v>
      </c>
      <c r="L1625" s="70" t="s">
        <v>595</v>
      </c>
      <c r="M1625" s="12" t="s">
        <v>918</v>
      </c>
      <c r="N1625" s="26">
        <v>1</v>
      </c>
      <c r="O1625" s="57">
        <v>309286</v>
      </c>
      <c r="P1625" s="62">
        <f t="shared" si="33"/>
        <v>309286</v>
      </c>
      <c r="Q1625" s="6" t="s">
        <v>395</v>
      </c>
      <c r="R1625" s="6" t="s">
        <v>770</v>
      </c>
      <c r="S1625" s="38" t="s">
        <v>2031</v>
      </c>
      <c r="T1625" s="26">
        <v>100</v>
      </c>
    </row>
    <row r="1626" spans="1:20" ht="51">
      <c r="B1626" s="6">
        <v>1610</v>
      </c>
      <c r="C1626" s="16" t="s">
        <v>714</v>
      </c>
      <c r="D1626" s="38" t="s">
        <v>601</v>
      </c>
      <c r="E1626" s="38" t="s">
        <v>596</v>
      </c>
      <c r="F1626" s="70" t="s">
        <v>2050</v>
      </c>
      <c r="G1626" s="70" t="s">
        <v>598</v>
      </c>
      <c r="H1626" s="70" t="s">
        <v>2051</v>
      </c>
      <c r="I1626" s="70" t="s">
        <v>2052</v>
      </c>
      <c r="J1626" s="70" t="s">
        <v>2051</v>
      </c>
      <c r="K1626" s="70" t="s">
        <v>118</v>
      </c>
      <c r="L1626" s="70" t="s">
        <v>595</v>
      </c>
      <c r="M1626" s="12" t="s">
        <v>918</v>
      </c>
      <c r="N1626" s="26">
        <v>1</v>
      </c>
      <c r="O1626" s="57">
        <v>587724</v>
      </c>
      <c r="P1626" s="62">
        <f t="shared" si="33"/>
        <v>587724</v>
      </c>
      <c r="Q1626" s="6" t="s">
        <v>395</v>
      </c>
      <c r="R1626" s="6" t="s">
        <v>770</v>
      </c>
      <c r="S1626" s="38" t="s">
        <v>637</v>
      </c>
      <c r="T1626" s="26">
        <v>100</v>
      </c>
    </row>
    <row r="1627" spans="1:20" s="42" customFormat="1" ht="51">
      <c r="A1627" s="41"/>
      <c r="B1627" s="6">
        <v>1611</v>
      </c>
      <c r="C1627" s="16" t="s">
        <v>714</v>
      </c>
      <c r="D1627" s="38" t="s">
        <v>601</v>
      </c>
      <c r="E1627" s="38" t="s">
        <v>596</v>
      </c>
      <c r="F1627" s="70" t="s">
        <v>2050</v>
      </c>
      <c r="G1627" s="70" t="s">
        <v>598</v>
      </c>
      <c r="H1627" s="70" t="s">
        <v>2051</v>
      </c>
      <c r="I1627" s="70" t="s">
        <v>2052</v>
      </c>
      <c r="J1627" s="70" t="s">
        <v>2051</v>
      </c>
      <c r="K1627" s="70" t="s">
        <v>118</v>
      </c>
      <c r="L1627" s="70" t="s">
        <v>595</v>
      </c>
      <c r="M1627" s="12" t="s">
        <v>918</v>
      </c>
      <c r="N1627" s="26">
        <v>1</v>
      </c>
      <c r="O1627" s="57">
        <v>327536</v>
      </c>
      <c r="P1627" s="62">
        <f t="shared" si="33"/>
        <v>327536</v>
      </c>
      <c r="Q1627" s="6" t="s">
        <v>395</v>
      </c>
      <c r="R1627" s="6" t="s">
        <v>770</v>
      </c>
      <c r="S1627" s="38">
        <v>311000000</v>
      </c>
      <c r="T1627" s="26">
        <v>100</v>
      </c>
    </row>
    <row r="1628" spans="1:20" s="45" customFormat="1" ht="51">
      <c r="A1628" s="44"/>
      <c r="B1628" s="6">
        <v>1612</v>
      </c>
      <c r="C1628" s="16" t="s">
        <v>714</v>
      </c>
      <c r="D1628" s="38" t="s">
        <v>601</v>
      </c>
      <c r="E1628" s="38" t="s">
        <v>596</v>
      </c>
      <c r="F1628" s="70" t="s">
        <v>2050</v>
      </c>
      <c r="G1628" s="70" t="s">
        <v>598</v>
      </c>
      <c r="H1628" s="70" t="s">
        <v>2051</v>
      </c>
      <c r="I1628" s="70" t="s">
        <v>2052</v>
      </c>
      <c r="J1628" s="70" t="s">
        <v>2051</v>
      </c>
      <c r="K1628" s="70" t="s">
        <v>118</v>
      </c>
      <c r="L1628" s="70" t="s">
        <v>595</v>
      </c>
      <c r="M1628" s="12" t="s">
        <v>918</v>
      </c>
      <c r="N1628" s="26">
        <v>1</v>
      </c>
      <c r="O1628" s="57">
        <f>P1628/N1628</f>
        <v>428952</v>
      </c>
      <c r="P1628" s="62">
        <v>428952</v>
      </c>
      <c r="Q1628" s="6" t="s">
        <v>395</v>
      </c>
      <c r="R1628" s="6" t="s">
        <v>770</v>
      </c>
      <c r="S1628" s="38" t="s">
        <v>2032</v>
      </c>
      <c r="T1628" s="26">
        <v>100</v>
      </c>
    </row>
    <row r="1629" spans="1:20" s="14" customFormat="1" ht="51">
      <c r="A1629" s="2"/>
      <c r="B1629" s="6">
        <v>1613</v>
      </c>
      <c r="C1629" s="16" t="s">
        <v>714</v>
      </c>
      <c r="D1629" s="38" t="s">
        <v>601</v>
      </c>
      <c r="E1629" s="38" t="s">
        <v>596</v>
      </c>
      <c r="F1629" s="70" t="s">
        <v>2050</v>
      </c>
      <c r="G1629" s="70" t="s">
        <v>598</v>
      </c>
      <c r="H1629" s="70" t="s">
        <v>2051</v>
      </c>
      <c r="I1629" s="70" t="s">
        <v>2052</v>
      </c>
      <c r="J1629" s="70" t="s">
        <v>2051</v>
      </c>
      <c r="K1629" s="70" t="s">
        <v>118</v>
      </c>
      <c r="L1629" s="70" t="s">
        <v>595</v>
      </c>
      <c r="M1629" s="12" t="s">
        <v>918</v>
      </c>
      <c r="N1629" s="26">
        <v>1</v>
      </c>
      <c r="O1629" s="57">
        <f>P1629/N1629</f>
        <v>1150386</v>
      </c>
      <c r="P1629" s="62">
        <v>1150386</v>
      </c>
      <c r="Q1629" s="6" t="s">
        <v>395</v>
      </c>
      <c r="R1629" s="6" t="s">
        <v>770</v>
      </c>
      <c r="S1629" s="38">
        <v>351000000</v>
      </c>
      <c r="T1629" s="26">
        <v>100</v>
      </c>
    </row>
    <row r="1630" spans="1:20" ht="51">
      <c r="B1630" s="6">
        <v>1614</v>
      </c>
      <c r="C1630" s="16" t="s">
        <v>714</v>
      </c>
      <c r="D1630" s="38" t="s">
        <v>601</v>
      </c>
      <c r="E1630" s="38" t="s">
        <v>596</v>
      </c>
      <c r="F1630" s="70" t="s">
        <v>2050</v>
      </c>
      <c r="G1630" s="70" t="s">
        <v>598</v>
      </c>
      <c r="H1630" s="70" t="s">
        <v>2051</v>
      </c>
      <c r="I1630" s="70" t="s">
        <v>2052</v>
      </c>
      <c r="J1630" s="70" t="s">
        <v>2051</v>
      </c>
      <c r="K1630" s="70" t="s">
        <v>118</v>
      </c>
      <c r="L1630" s="70" t="s">
        <v>595</v>
      </c>
      <c r="M1630" s="12" t="s">
        <v>918</v>
      </c>
      <c r="N1630" s="26">
        <v>1</v>
      </c>
      <c r="O1630" s="57">
        <f>P1630/N1630</f>
        <v>408036</v>
      </c>
      <c r="P1630" s="62">
        <v>408036</v>
      </c>
      <c r="Q1630" s="6" t="s">
        <v>395</v>
      </c>
      <c r="R1630" s="6" t="s">
        <v>770</v>
      </c>
      <c r="S1630" s="38" t="s">
        <v>929</v>
      </c>
      <c r="T1630" s="26">
        <v>100</v>
      </c>
    </row>
    <row r="1631" spans="1:20" s="14" customFormat="1" ht="51">
      <c r="A1631" s="2"/>
      <c r="B1631" s="6">
        <v>1615</v>
      </c>
      <c r="C1631" s="16" t="s">
        <v>714</v>
      </c>
      <c r="D1631" s="38" t="s">
        <v>601</v>
      </c>
      <c r="E1631" s="38" t="s">
        <v>596</v>
      </c>
      <c r="F1631" s="70" t="s">
        <v>2050</v>
      </c>
      <c r="G1631" s="70" t="s">
        <v>598</v>
      </c>
      <c r="H1631" s="70" t="s">
        <v>2051</v>
      </c>
      <c r="I1631" s="70" t="s">
        <v>2052</v>
      </c>
      <c r="J1631" s="70" t="s">
        <v>2051</v>
      </c>
      <c r="K1631" s="70" t="s">
        <v>118</v>
      </c>
      <c r="L1631" s="70" t="s">
        <v>595</v>
      </c>
      <c r="M1631" s="12" t="s">
        <v>918</v>
      </c>
      <c r="N1631" s="26">
        <v>1</v>
      </c>
      <c r="O1631" s="57">
        <f>P1631/N1631</f>
        <v>429786</v>
      </c>
      <c r="P1631" s="62">
        <v>429786</v>
      </c>
      <c r="Q1631" s="6" t="s">
        <v>395</v>
      </c>
      <c r="R1631" s="6" t="s">
        <v>770</v>
      </c>
      <c r="S1631" s="38">
        <v>431000000</v>
      </c>
      <c r="T1631" s="26">
        <v>100</v>
      </c>
    </row>
    <row r="1632" spans="1:20" ht="51">
      <c r="B1632" s="6">
        <v>1616</v>
      </c>
      <c r="C1632" s="36" t="s">
        <v>714</v>
      </c>
      <c r="D1632" s="52" t="s">
        <v>601</v>
      </c>
      <c r="E1632" s="38" t="s">
        <v>596</v>
      </c>
      <c r="F1632" s="70" t="s">
        <v>2050</v>
      </c>
      <c r="G1632" s="70" t="s">
        <v>598</v>
      </c>
      <c r="H1632" s="70" t="s">
        <v>2051</v>
      </c>
      <c r="I1632" s="70" t="s">
        <v>2052</v>
      </c>
      <c r="J1632" s="70" t="s">
        <v>2051</v>
      </c>
      <c r="K1632" s="70" t="s">
        <v>118</v>
      </c>
      <c r="L1632" s="70" t="s">
        <v>595</v>
      </c>
      <c r="M1632" s="12" t="s">
        <v>918</v>
      </c>
      <c r="N1632" s="26">
        <v>1</v>
      </c>
      <c r="O1632" s="57">
        <v>389286</v>
      </c>
      <c r="P1632" s="62">
        <f>N1632*O1632</f>
        <v>389286</v>
      </c>
      <c r="Q1632" s="6" t="s">
        <v>395</v>
      </c>
      <c r="R1632" s="6" t="s">
        <v>770</v>
      </c>
      <c r="S1632" s="38" t="s">
        <v>719</v>
      </c>
      <c r="T1632" s="26">
        <v>100</v>
      </c>
    </row>
    <row r="1633" spans="1:20" s="39" customFormat="1" ht="57.75" customHeight="1">
      <c r="B1633" s="6">
        <v>1617</v>
      </c>
      <c r="C1633" s="16" t="s">
        <v>714</v>
      </c>
      <c r="D1633" s="38" t="s">
        <v>601</v>
      </c>
      <c r="E1633" s="38" t="s">
        <v>596</v>
      </c>
      <c r="F1633" s="70" t="s">
        <v>2050</v>
      </c>
      <c r="G1633" s="70" t="s">
        <v>598</v>
      </c>
      <c r="H1633" s="70" t="s">
        <v>2051</v>
      </c>
      <c r="I1633" s="70" t="s">
        <v>2052</v>
      </c>
      <c r="J1633" s="70" t="s">
        <v>2051</v>
      </c>
      <c r="K1633" s="70" t="s">
        <v>118</v>
      </c>
      <c r="L1633" s="70" t="s">
        <v>595</v>
      </c>
      <c r="M1633" s="12" t="s">
        <v>918</v>
      </c>
      <c r="N1633" s="26">
        <v>1</v>
      </c>
      <c r="O1633" s="57">
        <f t="shared" ref="O1633:O1651" si="37">P1633/N1633</f>
        <v>449286</v>
      </c>
      <c r="P1633" s="62">
        <v>449286</v>
      </c>
      <c r="Q1633" s="6" t="s">
        <v>395</v>
      </c>
      <c r="R1633" s="6" t="s">
        <v>770</v>
      </c>
      <c r="S1633" s="38">
        <v>551000000</v>
      </c>
      <c r="T1633" s="26">
        <v>100</v>
      </c>
    </row>
    <row r="1634" spans="1:20" s="14" customFormat="1" ht="51">
      <c r="A1634" s="2"/>
      <c r="B1634" s="6">
        <v>1618</v>
      </c>
      <c r="C1634" s="16" t="s">
        <v>945</v>
      </c>
      <c r="D1634" s="6" t="s">
        <v>601</v>
      </c>
      <c r="E1634" s="38" t="s">
        <v>596</v>
      </c>
      <c r="F1634" s="70" t="s">
        <v>2050</v>
      </c>
      <c r="G1634" s="70" t="s">
        <v>598</v>
      </c>
      <c r="H1634" s="70" t="s">
        <v>2051</v>
      </c>
      <c r="I1634" s="70" t="s">
        <v>2052</v>
      </c>
      <c r="J1634" s="70" t="s">
        <v>2051</v>
      </c>
      <c r="K1634" s="70" t="s">
        <v>118</v>
      </c>
      <c r="L1634" s="70" t="s">
        <v>595</v>
      </c>
      <c r="M1634" s="12" t="s">
        <v>918</v>
      </c>
      <c r="N1634" s="26">
        <v>1</v>
      </c>
      <c r="O1634" s="57">
        <f t="shared" si="37"/>
        <v>379822</v>
      </c>
      <c r="P1634" s="62">
        <v>379822</v>
      </c>
      <c r="Q1634" s="6" t="s">
        <v>395</v>
      </c>
      <c r="R1634" s="6" t="s">
        <v>770</v>
      </c>
      <c r="S1634" s="38">
        <v>591000000</v>
      </c>
      <c r="T1634" s="26">
        <v>100</v>
      </c>
    </row>
    <row r="1635" spans="1:20" s="14" customFormat="1" ht="51">
      <c r="A1635" s="2"/>
      <c r="B1635" s="6">
        <v>1619</v>
      </c>
      <c r="C1635" s="16" t="s">
        <v>714</v>
      </c>
      <c r="D1635" s="38" t="s">
        <v>601</v>
      </c>
      <c r="E1635" s="38" t="s">
        <v>596</v>
      </c>
      <c r="F1635" s="70" t="s">
        <v>2050</v>
      </c>
      <c r="G1635" s="70" t="s">
        <v>598</v>
      </c>
      <c r="H1635" s="70" t="s">
        <v>2051</v>
      </c>
      <c r="I1635" s="70" t="s">
        <v>2052</v>
      </c>
      <c r="J1635" s="70" t="s">
        <v>2051</v>
      </c>
      <c r="K1635" s="70" t="s">
        <v>118</v>
      </c>
      <c r="L1635" s="70" t="s">
        <v>595</v>
      </c>
      <c r="M1635" s="12" t="s">
        <v>918</v>
      </c>
      <c r="N1635" s="26">
        <v>1</v>
      </c>
      <c r="O1635" s="57">
        <f t="shared" si="37"/>
        <v>840104</v>
      </c>
      <c r="P1635" s="62">
        <v>840104</v>
      </c>
      <c r="Q1635" s="6" t="s">
        <v>395</v>
      </c>
      <c r="R1635" s="6" t="s">
        <v>770</v>
      </c>
      <c r="S1635" s="38" t="s">
        <v>2037</v>
      </c>
      <c r="T1635" s="26">
        <v>100</v>
      </c>
    </row>
    <row r="1636" spans="1:20" s="14" customFormat="1" ht="63.75">
      <c r="A1636" s="2"/>
      <c r="B1636" s="6">
        <v>1620</v>
      </c>
      <c r="C1636" s="36" t="s">
        <v>714</v>
      </c>
      <c r="D1636" s="43" t="s">
        <v>601</v>
      </c>
      <c r="E1636" s="38" t="s">
        <v>593</v>
      </c>
      <c r="F1636" s="70" t="s">
        <v>2053</v>
      </c>
      <c r="G1636" s="70" t="s">
        <v>713</v>
      </c>
      <c r="H1636" s="70" t="s">
        <v>2053</v>
      </c>
      <c r="I1636" s="70" t="s">
        <v>594</v>
      </c>
      <c r="J1636" s="70" t="s">
        <v>2055</v>
      </c>
      <c r="K1636" s="70" t="s">
        <v>341</v>
      </c>
      <c r="L1636" s="70" t="s">
        <v>595</v>
      </c>
      <c r="M1636" s="12" t="s">
        <v>918</v>
      </c>
      <c r="N1636" s="26">
        <v>1</v>
      </c>
      <c r="O1636" s="57">
        <f t="shared" si="37"/>
        <v>0</v>
      </c>
      <c r="P1636" s="62">
        <f>1787446-1787446</f>
        <v>0</v>
      </c>
      <c r="Q1636" s="6" t="s">
        <v>505</v>
      </c>
      <c r="R1636" s="6" t="s">
        <v>770</v>
      </c>
      <c r="S1636" s="38" t="s">
        <v>2038</v>
      </c>
      <c r="T1636" s="26">
        <v>30</v>
      </c>
    </row>
    <row r="1637" spans="1:20" s="14" customFormat="1" ht="63.75">
      <c r="A1637" s="2"/>
      <c r="B1637" s="6">
        <v>1621</v>
      </c>
      <c r="C1637" s="16" t="s">
        <v>714</v>
      </c>
      <c r="D1637" s="38" t="s">
        <v>601</v>
      </c>
      <c r="E1637" s="38" t="s">
        <v>593</v>
      </c>
      <c r="F1637" s="70" t="s">
        <v>2053</v>
      </c>
      <c r="G1637" s="70" t="s">
        <v>713</v>
      </c>
      <c r="H1637" s="70" t="s">
        <v>2053</v>
      </c>
      <c r="I1637" s="70" t="s">
        <v>594</v>
      </c>
      <c r="J1637" s="70" t="s">
        <v>2055</v>
      </c>
      <c r="K1637" s="70" t="s">
        <v>341</v>
      </c>
      <c r="L1637" s="70" t="s">
        <v>595</v>
      </c>
      <c r="M1637" s="12" t="s">
        <v>918</v>
      </c>
      <c r="N1637" s="26">
        <v>1</v>
      </c>
      <c r="O1637" s="57">
        <f t="shared" si="37"/>
        <v>0</v>
      </c>
      <c r="P1637" s="62">
        <f>1851042-1851042</f>
        <v>0</v>
      </c>
      <c r="Q1637" s="6" t="s">
        <v>505</v>
      </c>
      <c r="R1637" s="6" t="s">
        <v>770</v>
      </c>
      <c r="S1637" s="38" t="s">
        <v>1025</v>
      </c>
      <c r="T1637" s="26">
        <v>30</v>
      </c>
    </row>
    <row r="1638" spans="1:20" s="14" customFormat="1" ht="63.75">
      <c r="A1638" s="2"/>
      <c r="B1638" s="6">
        <v>1622</v>
      </c>
      <c r="C1638" s="16" t="s">
        <v>714</v>
      </c>
      <c r="D1638" s="38" t="s">
        <v>601</v>
      </c>
      <c r="E1638" s="38" t="s">
        <v>593</v>
      </c>
      <c r="F1638" s="70" t="s">
        <v>2053</v>
      </c>
      <c r="G1638" s="70" t="s">
        <v>713</v>
      </c>
      <c r="H1638" s="70" t="s">
        <v>2053</v>
      </c>
      <c r="I1638" s="70" t="s">
        <v>594</v>
      </c>
      <c r="J1638" s="70" t="s">
        <v>2055</v>
      </c>
      <c r="K1638" s="70" t="s">
        <v>341</v>
      </c>
      <c r="L1638" s="70" t="s">
        <v>595</v>
      </c>
      <c r="M1638" s="12" t="s">
        <v>918</v>
      </c>
      <c r="N1638" s="26">
        <v>1</v>
      </c>
      <c r="O1638" s="57">
        <f t="shared" si="37"/>
        <v>0</v>
      </c>
      <c r="P1638" s="62">
        <f>4075788-4075788</f>
        <v>0</v>
      </c>
      <c r="Q1638" s="6" t="s">
        <v>505</v>
      </c>
      <c r="R1638" s="6" t="s">
        <v>770</v>
      </c>
      <c r="S1638" s="38" t="s">
        <v>793</v>
      </c>
      <c r="T1638" s="6">
        <v>30</v>
      </c>
    </row>
    <row r="1639" spans="1:20" s="14" customFormat="1" ht="63.75">
      <c r="A1639" s="2"/>
      <c r="B1639" s="6">
        <v>1623</v>
      </c>
      <c r="C1639" s="16" t="s">
        <v>714</v>
      </c>
      <c r="D1639" s="38" t="s">
        <v>601</v>
      </c>
      <c r="E1639" s="38" t="s">
        <v>593</v>
      </c>
      <c r="F1639" s="70" t="s">
        <v>2053</v>
      </c>
      <c r="G1639" s="70" t="s">
        <v>713</v>
      </c>
      <c r="H1639" s="70" t="s">
        <v>2053</v>
      </c>
      <c r="I1639" s="70" t="s">
        <v>594</v>
      </c>
      <c r="J1639" s="70" t="s">
        <v>2055</v>
      </c>
      <c r="K1639" s="70" t="s">
        <v>341</v>
      </c>
      <c r="L1639" s="70" t="s">
        <v>595</v>
      </c>
      <c r="M1639" s="12" t="s">
        <v>918</v>
      </c>
      <c r="N1639" s="26">
        <v>1</v>
      </c>
      <c r="O1639" s="57">
        <f t="shared" si="37"/>
        <v>0</v>
      </c>
      <c r="P1639" s="62">
        <f>3396428-3396428</f>
        <v>0</v>
      </c>
      <c r="Q1639" s="6" t="s">
        <v>505</v>
      </c>
      <c r="R1639" s="6" t="s">
        <v>770</v>
      </c>
      <c r="S1639" s="38" t="s">
        <v>2030</v>
      </c>
      <c r="T1639" s="26">
        <v>30</v>
      </c>
    </row>
    <row r="1640" spans="1:20" s="14" customFormat="1" ht="63.75">
      <c r="B1640" s="6">
        <v>1624</v>
      </c>
      <c r="C1640" s="16" t="s">
        <v>714</v>
      </c>
      <c r="D1640" s="38" t="s">
        <v>601</v>
      </c>
      <c r="E1640" s="38" t="s">
        <v>593</v>
      </c>
      <c r="F1640" s="70" t="s">
        <v>2053</v>
      </c>
      <c r="G1640" s="70" t="s">
        <v>713</v>
      </c>
      <c r="H1640" s="70" t="s">
        <v>2053</v>
      </c>
      <c r="I1640" s="70" t="s">
        <v>594</v>
      </c>
      <c r="J1640" s="70" t="s">
        <v>2055</v>
      </c>
      <c r="K1640" s="70" t="s">
        <v>341</v>
      </c>
      <c r="L1640" s="70" t="s">
        <v>595</v>
      </c>
      <c r="M1640" s="12" t="s">
        <v>918</v>
      </c>
      <c r="N1640" s="26">
        <v>1</v>
      </c>
      <c r="O1640" s="57">
        <f t="shared" si="37"/>
        <v>0</v>
      </c>
      <c r="P1640" s="62">
        <f>3770428-3770428</f>
        <v>0</v>
      </c>
      <c r="Q1640" s="6" t="s">
        <v>505</v>
      </c>
      <c r="R1640" s="6" t="s">
        <v>770</v>
      </c>
      <c r="S1640" s="38" t="s">
        <v>2035</v>
      </c>
      <c r="T1640" s="26">
        <v>30</v>
      </c>
    </row>
    <row r="1641" spans="1:20" s="14" customFormat="1" ht="63.75">
      <c r="A1641" s="17"/>
      <c r="B1641" s="6">
        <v>1625</v>
      </c>
      <c r="C1641" s="16" t="s">
        <v>714</v>
      </c>
      <c r="D1641" s="38" t="s">
        <v>601</v>
      </c>
      <c r="E1641" s="38" t="s">
        <v>593</v>
      </c>
      <c r="F1641" s="70" t="s">
        <v>2053</v>
      </c>
      <c r="G1641" s="70" t="s">
        <v>713</v>
      </c>
      <c r="H1641" s="70" t="s">
        <v>2053</v>
      </c>
      <c r="I1641" s="70" t="s">
        <v>594</v>
      </c>
      <c r="J1641" s="70" t="s">
        <v>2055</v>
      </c>
      <c r="K1641" s="70" t="s">
        <v>341</v>
      </c>
      <c r="L1641" s="70" t="s">
        <v>595</v>
      </c>
      <c r="M1641" s="12" t="s">
        <v>918</v>
      </c>
      <c r="N1641" s="26">
        <v>1</v>
      </c>
      <c r="O1641" s="57">
        <f t="shared" si="37"/>
        <v>0</v>
      </c>
      <c r="P1641" s="62">
        <f>1458118-1458118</f>
        <v>0</v>
      </c>
      <c r="Q1641" s="6" t="s">
        <v>505</v>
      </c>
      <c r="R1641" s="6" t="s">
        <v>770</v>
      </c>
      <c r="S1641" s="38" t="s">
        <v>2031</v>
      </c>
      <c r="T1641" s="26">
        <v>30</v>
      </c>
    </row>
    <row r="1642" spans="1:20" ht="63.75">
      <c r="B1642" s="6">
        <v>1626</v>
      </c>
      <c r="C1642" s="16" t="s">
        <v>714</v>
      </c>
      <c r="D1642" s="38" t="s">
        <v>601</v>
      </c>
      <c r="E1642" s="38" t="s">
        <v>593</v>
      </c>
      <c r="F1642" s="70" t="s">
        <v>2053</v>
      </c>
      <c r="G1642" s="70" t="s">
        <v>713</v>
      </c>
      <c r="H1642" s="70" t="s">
        <v>2053</v>
      </c>
      <c r="I1642" s="70" t="s">
        <v>594</v>
      </c>
      <c r="J1642" s="70" t="s">
        <v>2055</v>
      </c>
      <c r="K1642" s="70" t="s">
        <v>341</v>
      </c>
      <c r="L1642" s="70" t="s">
        <v>595</v>
      </c>
      <c r="M1642" s="12" t="s">
        <v>918</v>
      </c>
      <c r="N1642" s="26">
        <v>1</v>
      </c>
      <c r="O1642" s="57">
        <f t="shared" si="37"/>
        <v>0</v>
      </c>
      <c r="P1642" s="62">
        <f>2793768-2793768</f>
        <v>0</v>
      </c>
      <c r="Q1642" s="6" t="s">
        <v>505</v>
      </c>
      <c r="R1642" s="6" t="s">
        <v>770</v>
      </c>
      <c r="S1642" s="38" t="s">
        <v>637</v>
      </c>
      <c r="T1642" s="26">
        <v>30</v>
      </c>
    </row>
    <row r="1643" spans="1:20" s="42" customFormat="1" ht="63.75">
      <c r="A1643" s="41"/>
      <c r="B1643" s="6">
        <v>1627</v>
      </c>
      <c r="C1643" s="16" t="s">
        <v>714</v>
      </c>
      <c r="D1643" s="38" t="s">
        <v>601</v>
      </c>
      <c r="E1643" s="38" t="s">
        <v>593</v>
      </c>
      <c r="F1643" s="70" t="s">
        <v>2053</v>
      </c>
      <c r="G1643" s="70" t="s">
        <v>713</v>
      </c>
      <c r="H1643" s="70" t="s">
        <v>2053</v>
      </c>
      <c r="I1643" s="70" t="s">
        <v>594</v>
      </c>
      <c r="J1643" s="70" t="s">
        <v>2055</v>
      </c>
      <c r="K1643" s="70" t="s">
        <v>341</v>
      </c>
      <c r="L1643" s="70" t="s">
        <v>595</v>
      </c>
      <c r="M1643" s="12" t="s">
        <v>918</v>
      </c>
      <c r="N1643" s="26">
        <v>1</v>
      </c>
      <c r="O1643" s="57">
        <f t="shared" si="37"/>
        <v>0</v>
      </c>
      <c r="P1643" s="62">
        <f>1856561-1856561</f>
        <v>0</v>
      </c>
      <c r="Q1643" s="6" t="s">
        <v>505</v>
      </c>
      <c r="R1643" s="6" t="s">
        <v>770</v>
      </c>
      <c r="S1643" s="38">
        <v>311000000</v>
      </c>
      <c r="T1643" s="26">
        <v>30</v>
      </c>
    </row>
    <row r="1644" spans="1:20" s="45" customFormat="1" ht="63.75">
      <c r="A1644" s="44"/>
      <c r="B1644" s="6">
        <v>1628</v>
      </c>
      <c r="C1644" s="16" t="s">
        <v>714</v>
      </c>
      <c r="D1644" s="38" t="s">
        <v>601</v>
      </c>
      <c r="E1644" s="38" t="s">
        <v>593</v>
      </c>
      <c r="F1644" s="70" t="s">
        <v>2053</v>
      </c>
      <c r="G1644" s="70" t="s">
        <v>713</v>
      </c>
      <c r="H1644" s="70" t="s">
        <v>2053</v>
      </c>
      <c r="I1644" s="70" t="s">
        <v>594</v>
      </c>
      <c r="J1644" s="70" t="s">
        <v>2055</v>
      </c>
      <c r="K1644" s="70" t="s">
        <v>341</v>
      </c>
      <c r="L1644" s="70" t="s">
        <v>595</v>
      </c>
      <c r="M1644" s="12" t="s">
        <v>918</v>
      </c>
      <c r="N1644" s="26">
        <v>1</v>
      </c>
      <c r="O1644" s="57">
        <f t="shared" si="37"/>
        <v>0</v>
      </c>
      <c r="P1644" s="62">
        <f>2055936-2055936</f>
        <v>0</v>
      </c>
      <c r="Q1644" s="6" t="s">
        <v>505</v>
      </c>
      <c r="R1644" s="6" t="s">
        <v>770</v>
      </c>
      <c r="S1644" s="38" t="s">
        <v>2032</v>
      </c>
      <c r="T1644" s="26">
        <v>30</v>
      </c>
    </row>
    <row r="1645" spans="1:20" s="14" customFormat="1" ht="63.75">
      <c r="A1645" s="2"/>
      <c r="B1645" s="6">
        <v>1629</v>
      </c>
      <c r="C1645" s="16" t="s">
        <v>714</v>
      </c>
      <c r="D1645" s="38" t="s">
        <v>601</v>
      </c>
      <c r="E1645" s="38" t="s">
        <v>593</v>
      </c>
      <c r="F1645" s="70" t="s">
        <v>2053</v>
      </c>
      <c r="G1645" s="70" t="s">
        <v>713</v>
      </c>
      <c r="H1645" s="70" t="s">
        <v>2053</v>
      </c>
      <c r="I1645" s="70" t="s">
        <v>594</v>
      </c>
      <c r="J1645" s="70" t="s">
        <v>2055</v>
      </c>
      <c r="K1645" s="70" t="s">
        <v>341</v>
      </c>
      <c r="L1645" s="70" t="s">
        <v>595</v>
      </c>
      <c r="M1645" s="12" t="s">
        <v>918</v>
      </c>
      <c r="N1645" s="26">
        <v>1</v>
      </c>
      <c r="O1645" s="57">
        <f t="shared" si="37"/>
        <v>0</v>
      </c>
      <c r="P1645" s="62">
        <f>2978571-2978571</f>
        <v>0</v>
      </c>
      <c r="Q1645" s="6" t="s">
        <v>505</v>
      </c>
      <c r="R1645" s="6" t="s">
        <v>770</v>
      </c>
      <c r="S1645" s="38">
        <v>351000000</v>
      </c>
      <c r="T1645" s="26">
        <v>30</v>
      </c>
    </row>
    <row r="1646" spans="1:20" ht="63.75">
      <c r="B1646" s="6">
        <v>1630</v>
      </c>
      <c r="C1646" s="16" t="s">
        <v>714</v>
      </c>
      <c r="D1646" s="38" t="s">
        <v>601</v>
      </c>
      <c r="E1646" s="38" t="s">
        <v>593</v>
      </c>
      <c r="F1646" s="70" t="s">
        <v>2053</v>
      </c>
      <c r="G1646" s="70" t="s">
        <v>713</v>
      </c>
      <c r="H1646" s="70" t="s">
        <v>2053</v>
      </c>
      <c r="I1646" s="70" t="s">
        <v>594</v>
      </c>
      <c r="J1646" s="70" t="s">
        <v>2055</v>
      </c>
      <c r="K1646" s="70" t="s">
        <v>341</v>
      </c>
      <c r="L1646" s="70" t="s">
        <v>595</v>
      </c>
      <c r="M1646" s="12" t="s">
        <v>918</v>
      </c>
      <c r="N1646" s="26">
        <v>1</v>
      </c>
      <c r="O1646" s="57">
        <f t="shared" si="37"/>
        <v>0</v>
      </c>
      <c r="P1646" s="62">
        <f>1644094-1644094</f>
        <v>0</v>
      </c>
      <c r="Q1646" s="6" t="s">
        <v>505</v>
      </c>
      <c r="R1646" s="6" t="s">
        <v>770</v>
      </c>
      <c r="S1646" s="38" t="s">
        <v>929</v>
      </c>
      <c r="T1646" s="26">
        <v>30</v>
      </c>
    </row>
    <row r="1647" spans="1:20" s="14" customFormat="1" ht="63.75">
      <c r="A1647" s="2"/>
      <c r="B1647" s="6">
        <v>1631</v>
      </c>
      <c r="C1647" s="16" t="s">
        <v>714</v>
      </c>
      <c r="D1647" s="38" t="s">
        <v>601</v>
      </c>
      <c r="E1647" s="38" t="s">
        <v>593</v>
      </c>
      <c r="F1647" s="70" t="s">
        <v>2053</v>
      </c>
      <c r="G1647" s="70" t="s">
        <v>713</v>
      </c>
      <c r="H1647" s="70" t="s">
        <v>2053</v>
      </c>
      <c r="I1647" s="70" t="s">
        <v>594</v>
      </c>
      <c r="J1647" s="70" t="s">
        <v>2055</v>
      </c>
      <c r="K1647" s="70" t="s">
        <v>341</v>
      </c>
      <c r="L1647" s="70" t="s">
        <v>595</v>
      </c>
      <c r="M1647" s="12" t="s">
        <v>918</v>
      </c>
      <c r="N1647" s="26">
        <v>1</v>
      </c>
      <c r="O1647" s="57">
        <f t="shared" si="37"/>
        <v>0</v>
      </c>
      <c r="P1647" s="62">
        <f>1182462-1182462</f>
        <v>0</v>
      </c>
      <c r="Q1647" s="6" t="s">
        <v>505</v>
      </c>
      <c r="R1647" s="6" t="s">
        <v>770</v>
      </c>
      <c r="S1647" s="38">
        <v>431000000</v>
      </c>
      <c r="T1647" s="26">
        <v>30</v>
      </c>
    </row>
    <row r="1648" spans="1:20" ht="63.75">
      <c r="B1648" s="6">
        <v>1632</v>
      </c>
      <c r="C1648" s="36" t="s">
        <v>714</v>
      </c>
      <c r="D1648" s="52" t="s">
        <v>601</v>
      </c>
      <c r="E1648" s="38" t="s">
        <v>593</v>
      </c>
      <c r="F1648" s="70" t="s">
        <v>2053</v>
      </c>
      <c r="G1648" s="70" t="s">
        <v>713</v>
      </c>
      <c r="H1648" s="70" t="s">
        <v>2053</v>
      </c>
      <c r="I1648" s="70" t="s">
        <v>594</v>
      </c>
      <c r="J1648" s="70" t="s">
        <v>2055</v>
      </c>
      <c r="K1648" s="70" t="s">
        <v>341</v>
      </c>
      <c r="L1648" s="70" t="s">
        <v>595</v>
      </c>
      <c r="M1648" s="12" t="s">
        <v>918</v>
      </c>
      <c r="N1648" s="26">
        <v>1</v>
      </c>
      <c r="O1648" s="57">
        <f t="shared" si="37"/>
        <v>0</v>
      </c>
      <c r="P1648" s="62">
        <f>1980123-1980123</f>
        <v>0</v>
      </c>
      <c r="Q1648" s="6" t="s">
        <v>505</v>
      </c>
      <c r="R1648" s="6" t="s">
        <v>770</v>
      </c>
      <c r="S1648" s="38" t="s">
        <v>719</v>
      </c>
      <c r="T1648" s="26">
        <v>30</v>
      </c>
    </row>
    <row r="1649" spans="1:20" s="39" customFormat="1" ht="63.75">
      <c r="B1649" s="6">
        <v>1633</v>
      </c>
      <c r="C1649" s="16" t="s">
        <v>714</v>
      </c>
      <c r="D1649" s="38" t="s">
        <v>601</v>
      </c>
      <c r="E1649" s="38" t="s">
        <v>593</v>
      </c>
      <c r="F1649" s="70" t="s">
        <v>2053</v>
      </c>
      <c r="G1649" s="70" t="s">
        <v>713</v>
      </c>
      <c r="H1649" s="70" t="s">
        <v>2053</v>
      </c>
      <c r="I1649" s="70" t="s">
        <v>594</v>
      </c>
      <c r="J1649" s="70" t="s">
        <v>2055</v>
      </c>
      <c r="K1649" s="70" t="s">
        <v>341</v>
      </c>
      <c r="L1649" s="70" t="s">
        <v>595</v>
      </c>
      <c r="M1649" s="12" t="s">
        <v>918</v>
      </c>
      <c r="N1649" s="26">
        <v>1</v>
      </c>
      <c r="O1649" s="57">
        <f t="shared" si="37"/>
        <v>0</v>
      </c>
      <c r="P1649" s="62">
        <f>1875696-1875696</f>
        <v>0</v>
      </c>
      <c r="Q1649" s="6" t="s">
        <v>505</v>
      </c>
      <c r="R1649" s="6" t="s">
        <v>770</v>
      </c>
      <c r="S1649" s="38">
        <v>551000000</v>
      </c>
      <c r="T1649" s="26">
        <v>30</v>
      </c>
    </row>
    <row r="1650" spans="1:20" s="14" customFormat="1" ht="63.75">
      <c r="A1650" s="2"/>
      <c r="B1650" s="6">
        <v>1634</v>
      </c>
      <c r="C1650" s="16" t="s">
        <v>945</v>
      </c>
      <c r="D1650" s="6" t="s">
        <v>601</v>
      </c>
      <c r="E1650" s="38" t="s">
        <v>593</v>
      </c>
      <c r="F1650" s="70" t="s">
        <v>2053</v>
      </c>
      <c r="G1650" s="70" t="s">
        <v>713</v>
      </c>
      <c r="H1650" s="70" t="s">
        <v>2053</v>
      </c>
      <c r="I1650" s="70" t="s">
        <v>594</v>
      </c>
      <c r="J1650" s="70" t="s">
        <v>2055</v>
      </c>
      <c r="K1650" s="70" t="s">
        <v>341</v>
      </c>
      <c r="L1650" s="70" t="s">
        <v>595</v>
      </c>
      <c r="M1650" s="12" t="s">
        <v>918</v>
      </c>
      <c r="N1650" s="26">
        <v>1</v>
      </c>
      <c r="O1650" s="57">
        <f t="shared" si="37"/>
        <v>0</v>
      </c>
      <c r="P1650" s="62">
        <f>1196916-1196916</f>
        <v>0</v>
      </c>
      <c r="Q1650" s="6" t="s">
        <v>505</v>
      </c>
      <c r="R1650" s="6" t="s">
        <v>770</v>
      </c>
      <c r="S1650" s="38">
        <v>591000000</v>
      </c>
      <c r="T1650" s="26">
        <v>30</v>
      </c>
    </row>
    <row r="1651" spans="1:20" s="14" customFormat="1" ht="63.75">
      <c r="A1651" s="2"/>
      <c r="B1651" s="6">
        <v>1635</v>
      </c>
      <c r="C1651" s="16" t="s">
        <v>714</v>
      </c>
      <c r="D1651" s="38" t="s">
        <v>601</v>
      </c>
      <c r="E1651" s="38" t="s">
        <v>593</v>
      </c>
      <c r="F1651" s="70" t="s">
        <v>2053</v>
      </c>
      <c r="G1651" s="70" t="s">
        <v>713</v>
      </c>
      <c r="H1651" s="70" t="s">
        <v>2053</v>
      </c>
      <c r="I1651" s="70" t="s">
        <v>594</v>
      </c>
      <c r="J1651" s="70" t="s">
        <v>2055</v>
      </c>
      <c r="K1651" s="70" t="s">
        <v>341</v>
      </c>
      <c r="L1651" s="70" t="s">
        <v>595</v>
      </c>
      <c r="M1651" s="12" t="s">
        <v>918</v>
      </c>
      <c r="N1651" s="26">
        <v>1</v>
      </c>
      <c r="O1651" s="57">
        <f t="shared" si="37"/>
        <v>0</v>
      </c>
      <c r="P1651" s="62">
        <f>3795812-3795812</f>
        <v>0</v>
      </c>
      <c r="Q1651" s="6" t="s">
        <v>505</v>
      </c>
      <c r="R1651" s="6" t="s">
        <v>770</v>
      </c>
      <c r="S1651" s="38" t="s">
        <v>2037</v>
      </c>
      <c r="T1651" s="6">
        <v>30</v>
      </c>
    </row>
    <row r="1652" spans="1:20" s="14" customFormat="1" ht="63.75">
      <c r="A1652" s="2"/>
      <c r="B1652" s="6">
        <v>1636</v>
      </c>
      <c r="C1652" s="36" t="s">
        <v>714</v>
      </c>
      <c r="D1652" s="43" t="s">
        <v>601</v>
      </c>
      <c r="E1652" s="38" t="s">
        <v>602</v>
      </c>
      <c r="F1652" s="70" t="s">
        <v>603</v>
      </c>
      <c r="G1652" s="70" t="s">
        <v>604</v>
      </c>
      <c r="H1652" s="70" t="s">
        <v>1024</v>
      </c>
      <c r="I1652" s="70" t="s">
        <v>606</v>
      </c>
      <c r="J1652" s="70" t="s">
        <v>1535</v>
      </c>
      <c r="K1652" s="70" t="s">
        <v>318</v>
      </c>
      <c r="L1652" s="70" t="s">
        <v>595</v>
      </c>
      <c r="M1652" s="12" t="s">
        <v>918</v>
      </c>
      <c r="N1652" s="26">
        <v>1</v>
      </c>
      <c r="O1652" s="57">
        <v>2340000</v>
      </c>
      <c r="P1652" s="62">
        <f t="shared" ref="P1652:P1704" si="38">N1652*O1652</f>
        <v>2340000</v>
      </c>
      <c r="Q1652" s="6" t="s">
        <v>397</v>
      </c>
      <c r="R1652" s="6" t="s">
        <v>770</v>
      </c>
      <c r="S1652" s="38" t="s">
        <v>2038</v>
      </c>
      <c r="T1652" s="26">
        <v>0</v>
      </c>
    </row>
    <row r="1653" spans="1:20" s="14" customFormat="1" ht="63.75">
      <c r="A1653" s="2"/>
      <c r="B1653" s="6">
        <v>1637</v>
      </c>
      <c r="C1653" s="16" t="s">
        <v>714</v>
      </c>
      <c r="D1653" s="38" t="s">
        <v>601</v>
      </c>
      <c r="E1653" s="38" t="s">
        <v>602</v>
      </c>
      <c r="F1653" s="70" t="s">
        <v>603</v>
      </c>
      <c r="G1653" s="70" t="s">
        <v>604</v>
      </c>
      <c r="H1653" s="70" t="s">
        <v>1024</v>
      </c>
      <c r="I1653" s="70" t="s">
        <v>606</v>
      </c>
      <c r="J1653" s="70" t="s">
        <v>1535</v>
      </c>
      <c r="K1653" s="70" t="s">
        <v>318</v>
      </c>
      <c r="L1653" s="70" t="s">
        <v>595</v>
      </c>
      <c r="M1653" s="12" t="s">
        <v>918</v>
      </c>
      <c r="N1653" s="26">
        <v>1</v>
      </c>
      <c r="O1653" s="57">
        <v>2340000</v>
      </c>
      <c r="P1653" s="62">
        <f t="shared" si="38"/>
        <v>2340000</v>
      </c>
      <c r="Q1653" s="6" t="s">
        <v>397</v>
      </c>
      <c r="R1653" s="6" t="s">
        <v>770</v>
      </c>
      <c r="S1653" s="38" t="s">
        <v>1025</v>
      </c>
      <c r="T1653" s="6">
        <v>0</v>
      </c>
    </row>
    <row r="1654" spans="1:20" s="14" customFormat="1" ht="63.75">
      <c r="A1654" s="2"/>
      <c r="B1654" s="6">
        <v>1638</v>
      </c>
      <c r="C1654" s="16" t="s">
        <v>714</v>
      </c>
      <c r="D1654" s="38" t="s">
        <v>601</v>
      </c>
      <c r="E1654" s="38" t="s">
        <v>602</v>
      </c>
      <c r="F1654" s="70" t="s">
        <v>603</v>
      </c>
      <c r="G1654" s="70" t="s">
        <v>604</v>
      </c>
      <c r="H1654" s="70" t="s">
        <v>1024</v>
      </c>
      <c r="I1654" s="70" t="s">
        <v>606</v>
      </c>
      <c r="J1654" s="70" t="s">
        <v>1535</v>
      </c>
      <c r="K1654" s="70" t="s">
        <v>318</v>
      </c>
      <c r="L1654" s="70" t="s">
        <v>595</v>
      </c>
      <c r="M1654" s="12" t="s">
        <v>918</v>
      </c>
      <c r="N1654" s="26">
        <v>1</v>
      </c>
      <c r="O1654" s="57">
        <v>2340000</v>
      </c>
      <c r="P1654" s="62">
        <f t="shared" si="38"/>
        <v>2340000</v>
      </c>
      <c r="Q1654" s="6" t="s">
        <v>397</v>
      </c>
      <c r="R1654" s="6" t="s">
        <v>770</v>
      </c>
      <c r="S1654" s="38" t="s">
        <v>793</v>
      </c>
      <c r="T1654" s="6">
        <v>0</v>
      </c>
    </row>
    <row r="1655" spans="1:20" s="14" customFormat="1" ht="63.75">
      <c r="A1655" s="17"/>
      <c r="B1655" s="6">
        <v>1639</v>
      </c>
      <c r="C1655" s="16" t="s">
        <v>714</v>
      </c>
      <c r="D1655" s="38" t="s">
        <v>601</v>
      </c>
      <c r="E1655" s="38" t="s">
        <v>602</v>
      </c>
      <c r="F1655" s="70" t="s">
        <v>603</v>
      </c>
      <c r="G1655" s="70" t="s">
        <v>604</v>
      </c>
      <c r="H1655" s="70" t="s">
        <v>1024</v>
      </c>
      <c r="I1655" s="70" t="s">
        <v>606</v>
      </c>
      <c r="J1655" s="70" t="s">
        <v>1535</v>
      </c>
      <c r="K1655" s="70" t="s">
        <v>318</v>
      </c>
      <c r="L1655" s="70" t="s">
        <v>595</v>
      </c>
      <c r="M1655" s="12" t="s">
        <v>918</v>
      </c>
      <c r="N1655" s="26">
        <v>1</v>
      </c>
      <c r="O1655" s="57">
        <v>2340000</v>
      </c>
      <c r="P1655" s="62">
        <f t="shared" si="38"/>
        <v>2340000</v>
      </c>
      <c r="Q1655" s="6" t="s">
        <v>397</v>
      </c>
      <c r="R1655" s="6" t="s">
        <v>770</v>
      </c>
      <c r="S1655" s="38" t="s">
        <v>2031</v>
      </c>
      <c r="T1655" s="26">
        <v>100</v>
      </c>
    </row>
    <row r="1656" spans="1:20" ht="63.75">
      <c r="B1656" s="6">
        <v>1640</v>
      </c>
      <c r="C1656" s="16" t="s">
        <v>714</v>
      </c>
      <c r="D1656" s="38" t="s">
        <v>601</v>
      </c>
      <c r="E1656" s="38" t="s">
        <v>602</v>
      </c>
      <c r="F1656" s="70" t="s">
        <v>603</v>
      </c>
      <c r="G1656" s="70" t="s">
        <v>604</v>
      </c>
      <c r="H1656" s="70" t="s">
        <v>1024</v>
      </c>
      <c r="I1656" s="70" t="s">
        <v>606</v>
      </c>
      <c r="J1656" s="70" t="s">
        <v>1535</v>
      </c>
      <c r="K1656" s="70" t="s">
        <v>318</v>
      </c>
      <c r="L1656" s="70" t="s">
        <v>595</v>
      </c>
      <c r="M1656" s="12" t="s">
        <v>918</v>
      </c>
      <c r="N1656" s="26">
        <v>1</v>
      </c>
      <c r="O1656" s="57">
        <v>2340000</v>
      </c>
      <c r="P1656" s="62">
        <f t="shared" si="38"/>
        <v>2340000</v>
      </c>
      <c r="Q1656" s="6" t="s">
        <v>397</v>
      </c>
      <c r="R1656" s="6" t="s">
        <v>770</v>
      </c>
      <c r="S1656" s="38" t="s">
        <v>637</v>
      </c>
      <c r="T1656" s="26">
        <v>0</v>
      </c>
    </row>
    <row r="1657" spans="1:20" s="42" customFormat="1" ht="63.75">
      <c r="A1657" s="41"/>
      <c r="B1657" s="6">
        <v>1641</v>
      </c>
      <c r="C1657" s="16" t="s">
        <v>714</v>
      </c>
      <c r="D1657" s="38" t="s">
        <v>601</v>
      </c>
      <c r="E1657" s="38" t="s">
        <v>602</v>
      </c>
      <c r="F1657" s="70" t="s">
        <v>603</v>
      </c>
      <c r="G1657" s="70" t="s">
        <v>604</v>
      </c>
      <c r="H1657" s="70" t="s">
        <v>1024</v>
      </c>
      <c r="I1657" s="70" t="s">
        <v>606</v>
      </c>
      <c r="J1657" s="70" t="s">
        <v>1535</v>
      </c>
      <c r="K1657" s="70" t="s">
        <v>318</v>
      </c>
      <c r="L1657" s="70" t="s">
        <v>595</v>
      </c>
      <c r="M1657" s="12" t="s">
        <v>918</v>
      </c>
      <c r="N1657" s="26">
        <v>1</v>
      </c>
      <c r="O1657" s="57">
        <v>2340000</v>
      </c>
      <c r="P1657" s="62">
        <f t="shared" si="38"/>
        <v>2340000</v>
      </c>
      <c r="Q1657" s="6" t="s">
        <v>397</v>
      </c>
      <c r="R1657" s="6" t="s">
        <v>770</v>
      </c>
      <c r="S1657" s="38">
        <v>311000000</v>
      </c>
      <c r="T1657" s="26">
        <v>0</v>
      </c>
    </row>
    <row r="1658" spans="1:20" s="45" customFormat="1" ht="63.75">
      <c r="A1658" s="44"/>
      <c r="B1658" s="6">
        <v>1642</v>
      </c>
      <c r="C1658" s="16" t="s">
        <v>714</v>
      </c>
      <c r="D1658" s="38" t="s">
        <v>601</v>
      </c>
      <c r="E1658" s="38" t="s">
        <v>602</v>
      </c>
      <c r="F1658" s="70" t="s">
        <v>603</v>
      </c>
      <c r="G1658" s="70" t="s">
        <v>604</v>
      </c>
      <c r="H1658" s="70" t="s">
        <v>1024</v>
      </c>
      <c r="I1658" s="70" t="s">
        <v>606</v>
      </c>
      <c r="J1658" s="70" t="s">
        <v>1535</v>
      </c>
      <c r="K1658" s="70" t="s">
        <v>318</v>
      </c>
      <c r="L1658" s="70" t="s">
        <v>595</v>
      </c>
      <c r="M1658" s="12" t="s">
        <v>918</v>
      </c>
      <c r="N1658" s="26">
        <v>1</v>
      </c>
      <c r="O1658" s="57">
        <v>2340000</v>
      </c>
      <c r="P1658" s="62">
        <f t="shared" si="38"/>
        <v>2340000</v>
      </c>
      <c r="Q1658" s="6" t="s">
        <v>397</v>
      </c>
      <c r="R1658" s="6" t="s">
        <v>770</v>
      </c>
      <c r="S1658" s="38" t="s">
        <v>2032</v>
      </c>
      <c r="T1658" s="26">
        <v>0</v>
      </c>
    </row>
    <row r="1659" spans="1:20" s="14" customFormat="1" ht="63.75">
      <c r="A1659" s="2"/>
      <c r="B1659" s="6">
        <v>1643</v>
      </c>
      <c r="C1659" s="16" t="s">
        <v>714</v>
      </c>
      <c r="D1659" s="38" t="s">
        <v>601</v>
      </c>
      <c r="E1659" s="38" t="s">
        <v>602</v>
      </c>
      <c r="F1659" s="70" t="s">
        <v>603</v>
      </c>
      <c r="G1659" s="70" t="s">
        <v>604</v>
      </c>
      <c r="H1659" s="70" t="s">
        <v>1024</v>
      </c>
      <c r="I1659" s="70" t="s">
        <v>606</v>
      </c>
      <c r="J1659" s="70" t="s">
        <v>1535</v>
      </c>
      <c r="K1659" s="70" t="s">
        <v>318</v>
      </c>
      <c r="L1659" s="70" t="s">
        <v>595</v>
      </c>
      <c r="M1659" s="12" t="s">
        <v>918</v>
      </c>
      <c r="N1659" s="26">
        <v>1</v>
      </c>
      <c r="O1659" s="57">
        <v>2340000</v>
      </c>
      <c r="P1659" s="62">
        <f t="shared" si="38"/>
        <v>2340000</v>
      </c>
      <c r="Q1659" s="6" t="s">
        <v>397</v>
      </c>
      <c r="R1659" s="6" t="s">
        <v>770</v>
      </c>
      <c r="S1659" s="38">
        <v>351000000</v>
      </c>
      <c r="T1659" s="26">
        <v>0</v>
      </c>
    </row>
    <row r="1660" spans="1:20" ht="63.75">
      <c r="B1660" s="6">
        <v>1644</v>
      </c>
      <c r="C1660" s="16" t="s">
        <v>714</v>
      </c>
      <c r="D1660" s="38" t="s">
        <v>601</v>
      </c>
      <c r="E1660" s="38" t="s">
        <v>602</v>
      </c>
      <c r="F1660" s="70" t="s">
        <v>603</v>
      </c>
      <c r="G1660" s="70" t="s">
        <v>604</v>
      </c>
      <c r="H1660" s="70" t="s">
        <v>1024</v>
      </c>
      <c r="I1660" s="70" t="s">
        <v>606</v>
      </c>
      <c r="J1660" s="70" t="s">
        <v>1535</v>
      </c>
      <c r="K1660" s="70" t="s">
        <v>318</v>
      </c>
      <c r="L1660" s="70" t="s">
        <v>595</v>
      </c>
      <c r="M1660" s="12" t="s">
        <v>918</v>
      </c>
      <c r="N1660" s="26">
        <v>1</v>
      </c>
      <c r="O1660" s="57">
        <v>2340000</v>
      </c>
      <c r="P1660" s="62">
        <f t="shared" si="38"/>
        <v>2340000</v>
      </c>
      <c r="Q1660" s="6" t="s">
        <v>397</v>
      </c>
      <c r="R1660" s="6" t="s">
        <v>770</v>
      </c>
      <c r="S1660" s="38" t="s">
        <v>929</v>
      </c>
      <c r="T1660" s="26">
        <v>0</v>
      </c>
    </row>
    <row r="1661" spans="1:20" s="14" customFormat="1" ht="63.75">
      <c r="A1661" s="2"/>
      <c r="B1661" s="6">
        <v>1645</v>
      </c>
      <c r="C1661" s="16" t="s">
        <v>714</v>
      </c>
      <c r="D1661" s="38" t="s">
        <v>601</v>
      </c>
      <c r="E1661" s="38" t="s">
        <v>602</v>
      </c>
      <c r="F1661" s="70" t="s">
        <v>603</v>
      </c>
      <c r="G1661" s="70" t="s">
        <v>604</v>
      </c>
      <c r="H1661" s="70" t="s">
        <v>1024</v>
      </c>
      <c r="I1661" s="70" t="s">
        <v>606</v>
      </c>
      <c r="J1661" s="70" t="s">
        <v>1535</v>
      </c>
      <c r="K1661" s="70" t="s">
        <v>318</v>
      </c>
      <c r="L1661" s="70" t="s">
        <v>595</v>
      </c>
      <c r="M1661" s="12" t="s">
        <v>918</v>
      </c>
      <c r="N1661" s="26">
        <v>1</v>
      </c>
      <c r="O1661" s="57">
        <v>2340000</v>
      </c>
      <c r="P1661" s="62">
        <f t="shared" si="38"/>
        <v>2340000</v>
      </c>
      <c r="Q1661" s="6" t="s">
        <v>397</v>
      </c>
      <c r="R1661" s="6" t="s">
        <v>770</v>
      </c>
      <c r="S1661" s="38">
        <v>431000000</v>
      </c>
      <c r="T1661" s="26">
        <v>0</v>
      </c>
    </row>
    <row r="1662" spans="1:20" ht="65.25" customHeight="1">
      <c r="B1662" s="6">
        <v>1646</v>
      </c>
      <c r="C1662" s="36" t="s">
        <v>714</v>
      </c>
      <c r="D1662" s="52" t="s">
        <v>601</v>
      </c>
      <c r="E1662" s="38" t="s">
        <v>602</v>
      </c>
      <c r="F1662" s="70" t="s">
        <v>603</v>
      </c>
      <c r="G1662" s="70" t="s">
        <v>604</v>
      </c>
      <c r="H1662" s="70" t="s">
        <v>1024</v>
      </c>
      <c r="I1662" s="70" t="s">
        <v>606</v>
      </c>
      <c r="J1662" s="70" t="s">
        <v>1535</v>
      </c>
      <c r="K1662" s="70" t="s">
        <v>318</v>
      </c>
      <c r="L1662" s="70" t="s">
        <v>595</v>
      </c>
      <c r="M1662" s="12" t="s">
        <v>918</v>
      </c>
      <c r="N1662" s="26">
        <v>1</v>
      </c>
      <c r="O1662" s="57">
        <v>2340000</v>
      </c>
      <c r="P1662" s="62">
        <f t="shared" si="38"/>
        <v>2340000</v>
      </c>
      <c r="Q1662" s="6" t="s">
        <v>397</v>
      </c>
      <c r="R1662" s="6" t="s">
        <v>770</v>
      </c>
      <c r="S1662" s="38" t="s">
        <v>719</v>
      </c>
      <c r="T1662" s="26">
        <v>0</v>
      </c>
    </row>
    <row r="1663" spans="1:20" s="39" customFormat="1" ht="78" customHeight="1">
      <c r="B1663" s="6">
        <v>1647</v>
      </c>
      <c r="C1663" s="16" t="s">
        <v>714</v>
      </c>
      <c r="D1663" s="38" t="s">
        <v>601</v>
      </c>
      <c r="E1663" s="38" t="s">
        <v>602</v>
      </c>
      <c r="F1663" s="70" t="s">
        <v>603</v>
      </c>
      <c r="G1663" s="70" t="s">
        <v>604</v>
      </c>
      <c r="H1663" s="70" t="s">
        <v>1024</v>
      </c>
      <c r="I1663" s="70" t="s">
        <v>606</v>
      </c>
      <c r="J1663" s="70" t="s">
        <v>1535</v>
      </c>
      <c r="K1663" s="70" t="s">
        <v>318</v>
      </c>
      <c r="L1663" s="70" t="s">
        <v>595</v>
      </c>
      <c r="M1663" s="12" t="s">
        <v>918</v>
      </c>
      <c r="N1663" s="26">
        <v>1</v>
      </c>
      <c r="O1663" s="57">
        <v>2340000</v>
      </c>
      <c r="P1663" s="62">
        <f t="shared" si="38"/>
        <v>2340000</v>
      </c>
      <c r="Q1663" s="6" t="s">
        <v>397</v>
      </c>
      <c r="R1663" s="6" t="s">
        <v>770</v>
      </c>
      <c r="S1663" s="38">
        <v>551000000</v>
      </c>
      <c r="T1663" s="53">
        <v>0</v>
      </c>
    </row>
    <row r="1664" spans="1:20" s="14" customFormat="1" ht="63.75">
      <c r="A1664" s="2"/>
      <c r="B1664" s="6">
        <v>1648</v>
      </c>
      <c r="C1664" s="16" t="s">
        <v>945</v>
      </c>
      <c r="D1664" s="6" t="s">
        <v>601</v>
      </c>
      <c r="E1664" s="38" t="s">
        <v>602</v>
      </c>
      <c r="F1664" s="70" t="s">
        <v>603</v>
      </c>
      <c r="G1664" s="70" t="s">
        <v>604</v>
      </c>
      <c r="H1664" s="70" t="s">
        <v>1024</v>
      </c>
      <c r="I1664" s="70" t="s">
        <v>606</v>
      </c>
      <c r="J1664" s="70" t="s">
        <v>1535</v>
      </c>
      <c r="K1664" s="70" t="s">
        <v>318</v>
      </c>
      <c r="L1664" s="70" t="s">
        <v>595</v>
      </c>
      <c r="M1664" s="12" t="s">
        <v>918</v>
      </c>
      <c r="N1664" s="26">
        <v>1</v>
      </c>
      <c r="O1664" s="57">
        <v>2340000</v>
      </c>
      <c r="P1664" s="62">
        <f t="shared" si="38"/>
        <v>2340000</v>
      </c>
      <c r="Q1664" s="6" t="s">
        <v>397</v>
      </c>
      <c r="R1664" s="6" t="s">
        <v>770</v>
      </c>
      <c r="S1664" s="38">
        <v>591000000</v>
      </c>
      <c r="T1664" s="26">
        <v>0</v>
      </c>
    </row>
    <row r="1665" spans="1:20" s="14" customFormat="1" ht="63.75">
      <c r="A1665" s="2"/>
      <c r="B1665" s="6">
        <v>1649</v>
      </c>
      <c r="C1665" s="16" t="s">
        <v>714</v>
      </c>
      <c r="D1665" s="38" t="s">
        <v>601</v>
      </c>
      <c r="E1665" s="38" t="s">
        <v>602</v>
      </c>
      <c r="F1665" s="70" t="s">
        <v>603</v>
      </c>
      <c r="G1665" s="70" t="s">
        <v>604</v>
      </c>
      <c r="H1665" s="70" t="s">
        <v>1024</v>
      </c>
      <c r="I1665" s="70" t="s">
        <v>606</v>
      </c>
      <c r="J1665" s="70" t="s">
        <v>1535</v>
      </c>
      <c r="K1665" s="70" t="s">
        <v>318</v>
      </c>
      <c r="L1665" s="70" t="s">
        <v>595</v>
      </c>
      <c r="M1665" s="12" t="s">
        <v>918</v>
      </c>
      <c r="N1665" s="26">
        <v>1</v>
      </c>
      <c r="O1665" s="57">
        <v>2340000</v>
      </c>
      <c r="P1665" s="62">
        <f t="shared" si="38"/>
        <v>2340000</v>
      </c>
      <c r="Q1665" s="6" t="s">
        <v>397</v>
      </c>
      <c r="R1665" s="6" t="s">
        <v>770</v>
      </c>
      <c r="S1665" s="38" t="s">
        <v>2037</v>
      </c>
      <c r="T1665" s="6">
        <v>0</v>
      </c>
    </row>
    <row r="1666" spans="1:20" s="14" customFormat="1" ht="60" customHeight="1">
      <c r="A1666" s="2"/>
      <c r="B1666" s="6">
        <v>1650</v>
      </c>
      <c r="C1666" s="36" t="s">
        <v>714</v>
      </c>
      <c r="D1666" s="43" t="s">
        <v>601</v>
      </c>
      <c r="E1666" s="38" t="s">
        <v>711</v>
      </c>
      <c r="F1666" s="70" t="s">
        <v>2064</v>
      </c>
      <c r="G1666" s="70" t="s">
        <v>712</v>
      </c>
      <c r="H1666" s="70" t="s">
        <v>2064</v>
      </c>
      <c r="I1666" s="70" t="s">
        <v>712</v>
      </c>
      <c r="J1666" s="70" t="s">
        <v>2065</v>
      </c>
      <c r="K1666" s="70" t="s">
        <v>96</v>
      </c>
      <c r="L1666" s="70" t="s">
        <v>595</v>
      </c>
      <c r="M1666" s="12" t="s">
        <v>918</v>
      </c>
      <c r="N1666" s="26">
        <v>1</v>
      </c>
      <c r="O1666" s="57">
        <f>P1666</f>
        <v>1440000</v>
      </c>
      <c r="P1666" s="62">
        <f>1050000+390000</f>
        <v>1440000</v>
      </c>
      <c r="Q1666" s="6" t="s">
        <v>397</v>
      </c>
      <c r="R1666" s="6" t="s">
        <v>770</v>
      </c>
      <c r="S1666" s="38" t="s">
        <v>2038</v>
      </c>
      <c r="T1666" s="26">
        <v>0</v>
      </c>
    </row>
    <row r="1667" spans="1:20" s="14" customFormat="1" ht="61.5" customHeight="1">
      <c r="A1667" s="2"/>
      <c r="B1667" s="6">
        <v>1651</v>
      </c>
      <c r="C1667" s="16" t="s">
        <v>714</v>
      </c>
      <c r="D1667" s="38" t="s">
        <v>601</v>
      </c>
      <c r="E1667" s="38" t="s">
        <v>711</v>
      </c>
      <c r="F1667" s="70" t="s">
        <v>2064</v>
      </c>
      <c r="G1667" s="70" t="s">
        <v>712</v>
      </c>
      <c r="H1667" s="70" t="s">
        <v>2064</v>
      </c>
      <c r="I1667" s="70" t="s">
        <v>712</v>
      </c>
      <c r="J1667" s="70" t="s">
        <v>2065</v>
      </c>
      <c r="K1667" s="70" t="s">
        <v>96</v>
      </c>
      <c r="L1667" s="70" t="s">
        <v>595</v>
      </c>
      <c r="M1667" s="12" t="s">
        <v>918</v>
      </c>
      <c r="N1667" s="26">
        <v>1</v>
      </c>
      <c r="O1667" s="57">
        <f t="shared" ref="O1667:O1679" si="39">P1667</f>
        <v>1440000</v>
      </c>
      <c r="P1667" s="62">
        <f t="shared" ref="P1667:P1679" si="40">1050000+390000</f>
        <v>1440000</v>
      </c>
      <c r="Q1667" s="6" t="s">
        <v>397</v>
      </c>
      <c r="R1667" s="6" t="s">
        <v>770</v>
      </c>
      <c r="S1667" s="38" t="s">
        <v>1025</v>
      </c>
      <c r="T1667" s="6">
        <v>0</v>
      </c>
    </row>
    <row r="1668" spans="1:20" s="14" customFormat="1" ht="55.5" customHeight="1">
      <c r="A1668" s="2"/>
      <c r="B1668" s="6">
        <v>1652</v>
      </c>
      <c r="C1668" s="16" t="s">
        <v>714</v>
      </c>
      <c r="D1668" s="38" t="s">
        <v>601</v>
      </c>
      <c r="E1668" s="38" t="s">
        <v>711</v>
      </c>
      <c r="F1668" s="70" t="s">
        <v>2064</v>
      </c>
      <c r="G1668" s="70" t="s">
        <v>712</v>
      </c>
      <c r="H1668" s="70" t="s">
        <v>2064</v>
      </c>
      <c r="I1668" s="70" t="s">
        <v>712</v>
      </c>
      <c r="J1668" s="70" t="s">
        <v>2065</v>
      </c>
      <c r="K1668" s="70" t="s">
        <v>96</v>
      </c>
      <c r="L1668" s="70" t="s">
        <v>595</v>
      </c>
      <c r="M1668" s="12" t="s">
        <v>918</v>
      </c>
      <c r="N1668" s="26">
        <v>1</v>
      </c>
      <c r="O1668" s="57">
        <f t="shared" si="39"/>
        <v>1440000</v>
      </c>
      <c r="P1668" s="62">
        <f t="shared" si="40"/>
        <v>1440000</v>
      </c>
      <c r="Q1668" s="6" t="s">
        <v>397</v>
      </c>
      <c r="R1668" s="6" t="s">
        <v>770</v>
      </c>
      <c r="S1668" s="38" t="s">
        <v>793</v>
      </c>
      <c r="T1668" s="6">
        <v>0</v>
      </c>
    </row>
    <row r="1669" spans="1:20" s="14" customFormat="1" ht="55.5" customHeight="1">
      <c r="A1669" s="17"/>
      <c r="B1669" s="6">
        <v>1653</v>
      </c>
      <c r="C1669" s="16" t="s">
        <v>714</v>
      </c>
      <c r="D1669" s="38" t="s">
        <v>601</v>
      </c>
      <c r="E1669" s="38" t="s">
        <v>711</v>
      </c>
      <c r="F1669" s="70" t="s">
        <v>2064</v>
      </c>
      <c r="G1669" s="70" t="s">
        <v>712</v>
      </c>
      <c r="H1669" s="70" t="s">
        <v>2064</v>
      </c>
      <c r="I1669" s="70" t="s">
        <v>712</v>
      </c>
      <c r="J1669" s="70" t="s">
        <v>2065</v>
      </c>
      <c r="K1669" s="70" t="s">
        <v>96</v>
      </c>
      <c r="L1669" s="70" t="s">
        <v>595</v>
      </c>
      <c r="M1669" s="12" t="s">
        <v>918</v>
      </c>
      <c r="N1669" s="26">
        <v>1</v>
      </c>
      <c r="O1669" s="57">
        <f t="shared" si="39"/>
        <v>1440000</v>
      </c>
      <c r="P1669" s="62">
        <f t="shared" si="40"/>
        <v>1440000</v>
      </c>
      <c r="Q1669" s="6" t="s">
        <v>397</v>
      </c>
      <c r="R1669" s="6" t="s">
        <v>770</v>
      </c>
      <c r="S1669" s="38" t="s">
        <v>2031</v>
      </c>
      <c r="T1669" s="26">
        <v>0</v>
      </c>
    </row>
    <row r="1670" spans="1:20" ht="57" customHeight="1">
      <c r="B1670" s="6">
        <v>1654</v>
      </c>
      <c r="C1670" s="16" t="s">
        <v>714</v>
      </c>
      <c r="D1670" s="38" t="s">
        <v>601</v>
      </c>
      <c r="E1670" s="38" t="s">
        <v>711</v>
      </c>
      <c r="F1670" s="70" t="s">
        <v>2064</v>
      </c>
      <c r="G1670" s="70" t="s">
        <v>712</v>
      </c>
      <c r="H1670" s="70" t="s">
        <v>2064</v>
      </c>
      <c r="I1670" s="70" t="s">
        <v>712</v>
      </c>
      <c r="J1670" s="70" t="s">
        <v>2065</v>
      </c>
      <c r="K1670" s="70" t="s">
        <v>96</v>
      </c>
      <c r="L1670" s="70" t="s">
        <v>595</v>
      </c>
      <c r="M1670" s="12" t="s">
        <v>918</v>
      </c>
      <c r="N1670" s="26">
        <v>1</v>
      </c>
      <c r="O1670" s="57">
        <f t="shared" si="39"/>
        <v>1320000</v>
      </c>
      <c r="P1670" s="62">
        <f>1050000+390000-120000</f>
        <v>1320000</v>
      </c>
      <c r="Q1670" s="6" t="s">
        <v>395</v>
      </c>
      <c r="R1670" s="6" t="s">
        <v>770</v>
      </c>
      <c r="S1670" s="38" t="s">
        <v>637</v>
      </c>
      <c r="T1670" s="26">
        <v>0</v>
      </c>
    </row>
    <row r="1671" spans="1:20" s="42" customFormat="1" ht="54" customHeight="1">
      <c r="A1671" s="41"/>
      <c r="B1671" s="6">
        <v>1655</v>
      </c>
      <c r="C1671" s="16" t="s">
        <v>714</v>
      </c>
      <c r="D1671" s="38" t="s">
        <v>601</v>
      </c>
      <c r="E1671" s="38" t="s">
        <v>711</v>
      </c>
      <c r="F1671" s="70" t="s">
        <v>2064</v>
      </c>
      <c r="G1671" s="70" t="s">
        <v>712</v>
      </c>
      <c r="H1671" s="70" t="s">
        <v>2064</v>
      </c>
      <c r="I1671" s="70" t="s">
        <v>712</v>
      </c>
      <c r="J1671" s="70" t="s">
        <v>2065</v>
      </c>
      <c r="K1671" s="70" t="s">
        <v>96</v>
      </c>
      <c r="L1671" s="70" t="s">
        <v>595</v>
      </c>
      <c r="M1671" s="12" t="s">
        <v>918</v>
      </c>
      <c r="N1671" s="26">
        <v>1</v>
      </c>
      <c r="O1671" s="57">
        <f t="shared" si="39"/>
        <v>1440000</v>
      </c>
      <c r="P1671" s="62">
        <f t="shared" si="40"/>
        <v>1440000</v>
      </c>
      <c r="Q1671" s="6" t="s">
        <v>397</v>
      </c>
      <c r="R1671" s="6" t="s">
        <v>770</v>
      </c>
      <c r="S1671" s="38">
        <v>311000000</v>
      </c>
      <c r="T1671" s="26">
        <v>0</v>
      </c>
    </row>
    <row r="1672" spans="1:20" s="45" customFormat="1" ht="55.5" customHeight="1">
      <c r="A1672" s="44"/>
      <c r="B1672" s="6">
        <v>1656</v>
      </c>
      <c r="C1672" s="16" t="s">
        <v>714</v>
      </c>
      <c r="D1672" s="38" t="s">
        <v>601</v>
      </c>
      <c r="E1672" s="38" t="s">
        <v>711</v>
      </c>
      <c r="F1672" s="70" t="s">
        <v>2064</v>
      </c>
      <c r="G1672" s="70" t="s">
        <v>712</v>
      </c>
      <c r="H1672" s="70" t="s">
        <v>2064</v>
      </c>
      <c r="I1672" s="70" t="s">
        <v>712</v>
      </c>
      <c r="J1672" s="70" t="s">
        <v>2065</v>
      </c>
      <c r="K1672" s="70" t="s">
        <v>96</v>
      </c>
      <c r="L1672" s="70" t="s">
        <v>595</v>
      </c>
      <c r="M1672" s="12" t="s">
        <v>918</v>
      </c>
      <c r="N1672" s="26">
        <v>1</v>
      </c>
      <c r="O1672" s="57">
        <f t="shared" si="39"/>
        <v>1440000</v>
      </c>
      <c r="P1672" s="62">
        <f t="shared" si="40"/>
        <v>1440000</v>
      </c>
      <c r="Q1672" s="6" t="s">
        <v>397</v>
      </c>
      <c r="R1672" s="6" t="s">
        <v>770</v>
      </c>
      <c r="S1672" s="38" t="s">
        <v>2032</v>
      </c>
      <c r="T1672" s="26">
        <v>0</v>
      </c>
    </row>
    <row r="1673" spans="1:20" s="14" customFormat="1" ht="57" customHeight="1">
      <c r="A1673" s="2"/>
      <c r="B1673" s="6">
        <v>1657</v>
      </c>
      <c r="C1673" s="16" t="s">
        <v>714</v>
      </c>
      <c r="D1673" s="38" t="s">
        <v>601</v>
      </c>
      <c r="E1673" s="38" t="s">
        <v>711</v>
      </c>
      <c r="F1673" s="70" t="s">
        <v>2064</v>
      </c>
      <c r="G1673" s="70" t="s">
        <v>712</v>
      </c>
      <c r="H1673" s="70" t="s">
        <v>2064</v>
      </c>
      <c r="I1673" s="70" t="s">
        <v>712</v>
      </c>
      <c r="J1673" s="70" t="s">
        <v>2065</v>
      </c>
      <c r="K1673" s="70" t="s">
        <v>96</v>
      </c>
      <c r="L1673" s="70" t="s">
        <v>595</v>
      </c>
      <c r="M1673" s="12" t="s">
        <v>918</v>
      </c>
      <c r="N1673" s="26">
        <v>1</v>
      </c>
      <c r="O1673" s="57">
        <f t="shared" si="39"/>
        <v>1440000</v>
      </c>
      <c r="P1673" s="62">
        <f t="shared" si="40"/>
        <v>1440000</v>
      </c>
      <c r="Q1673" s="6" t="s">
        <v>397</v>
      </c>
      <c r="R1673" s="6" t="s">
        <v>770</v>
      </c>
      <c r="S1673" s="38">
        <v>351000000</v>
      </c>
      <c r="T1673" s="26">
        <v>0</v>
      </c>
    </row>
    <row r="1674" spans="1:20" ht="57" customHeight="1">
      <c r="B1674" s="6">
        <v>1658</v>
      </c>
      <c r="C1674" s="16" t="s">
        <v>714</v>
      </c>
      <c r="D1674" s="38" t="s">
        <v>601</v>
      </c>
      <c r="E1674" s="38" t="s">
        <v>711</v>
      </c>
      <c r="F1674" s="70" t="s">
        <v>2064</v>
      </c>
      <c r="G1674" s="70" t="s">
        <v>712</v>
      </c>
      <c r="H1674" s="70" t="s">
        <v>2064</v>
      </c>
      <c r="I1674" s="70" t="s">
        <v>712</v>
      </c>
      <c r="J1674" s="70" t="s">
        <v>2065</v>
      </c>
      <c r="K1674" s="70" t="s">
        <v>96</v>
      </c>
      <c r="L1674" s="70" t="s">
        <v>595</v>
      </c>
      <c r="M1674" s="12" t="s">
        <v>918</v>
      </c>
      <c r="N1674" s="26">
        <v>1</v>
      </c>
      <c r="O1674" s="57">
        <f t="shared" si="39"/>
        <v>1440000</v>
      </c>
      <c r="P1674" s="62">
        <f t="shared" si="40"/>
        <v>1440000</v>
      </c>
      <c r="Q1674" s="6" t="s">
        <v>397</v>
      </c>
      <c r="R1674" s="6" t="s">
        <v>770</v>
      </c>
      <c r="S1674" s="38" t="s">
        <v>929</v>
      </c>
      <c r="T1674" s="26">
        <v>0</v>
      </c>
    </row>
    <row r="1675" spans="1:20" s="14" customFormat="1" ht="57" customHeight="1">
      <c r="A1675" s="2"/>
      <c r="B1675" s="6">
        <v>1659</v>
      </c>
      <c r="C1675" s="16" t="s">
        <v>714</v>
      </c>
      <c r="D1675" s="38" t="s">
        <v>601</v>
      </c>
      <c r="E1675" s="38" t="s">
        <v>591</v>
      </c>
      <c r="F1675" s="70" t="s">
        <v>2064</v>
      </c>
      <c r="G1675" s="70" t="s">
        <v>712</v>
      </c>
      <c r="H1675" s="70" t="s">
        <v>2064</v>
      </c>
      <c r="I1675" s="70" t="s">
        <v>712</v>
      </c>
      <c r="J1675" s="70" t="s">
        <v>2065</v>
      </c>
      <c r="K1675" s="70" t="s">
        <v>96</v>
      </c>
      <c r="L1675" s="70" t="s">
        <v>595</v>
      </c>
      <c r="M1675" s="12" t="s">
        <v>918</v>
      </c>
      <c r="N1675" s="26">
        <v>1</v>
      </c>
      <c r="O1675" s="57">
        <f t="shared" si="39"/>
        <v>1440000</v>
      </c>
      <c r="P1675" s="62">
        <f t="shared" si="40"/>
        <v>1440000</v>
      </c>
      <c r="Q1675" s="6" t="s">
        <v>397</v>
      </c>
      <c r="R1675" s="6" t="s">
        <v>770</v>
      </c>
      <c r="S1675" s="38">
        <v>431000000</v>
      </c>
      <c r="T1675" s="26">
        <v>0</v>
      </c>
    </row>
    <row r="1676" spans="1:20" ht="58.5" customHeight="1">
      <c r="B1676" s="6">
        <v>1660</v>
      </c>
      <c r="C1676" s="36" t="s">
        <v>714</v>
      </c>
      <c r="D1676" s="43" t="s">
        <v>601</v>
      </c>
      <c r="E1676" s="38" t="s">
        <v>711</v>
      </c>
      <c r="F1676" s="70" t="s">
        <v>2064</v>
      </c>
      <c r="G1676" s="70" t="s">
        <v>712</v>
      </c>
      <c r="H1676" s="70" t="s">
        <v>2064</v>
      </c>
      <c r="I1676" s="70" t="s">
        <v>712</v>
      </c>
      <c r="J1676" s="70" t="s">
        <v>2065</v>
      </c>
      <c r="K1676" s="70" t="s">
        <v>96</v>
      </c>
      <c r="L1676" s="70" t="s">
        <v>595</v>
      </c>
      <c r="M1676" s="12" t="s">
        <v>918</v>
      </c>
      <c r="N1676" s="26">
        <v>1</v>
      </c>
      <c r="O1676" s="57">
        <f t="shared" si="39"/>
        <v>1440000</v>
      </c>
      <c r="P1676" s="62">
        <f t="shared" si="40"/>
        <v>1440000</v>
      </c>
      <c r="Q1676" s="6" t="s">
        <v>397</v>
      </c>
      <c r="R1676" s="6" t="s">
        <v>770</v>
      </c>
      <c r="S1676" s="38" t="s">
        <v>719</v>
      </c>
      <c r="T1676" s="26">
        <v>0</v>
      </c>
    </row>
    <row r="1677" spans="1:20" s="39" customFormat="1" ht="53.25" customHeight="1">
      <c r="B1677" s="6">
        <v>1661</v>
      </c>
      <c r="C1677" s="16" t="s">
        <v>714</v>
      </c>
      <c r="D1677" s="38" t="s">
        <v>601</v>
      </c>
      <c r="E1677" s="38" t="s">
        <v>711</v>
      </c>
      <c r="F1677" s="70" t="s">
        <v>2064</v>
      </c>
      <c r="G1677" s="70" t="s">
        <v>712</v>
      </c>
      <c r="H1677" s="70" t="s">
        <v>2064</v>
      </c>
      <c r="I1677" s="70" t="s">
        <v>712</v>
      </c>
      <c r="J1677" s="70" t="s">
        <v>2065</v>
      </c>
      <c r="K1677" s="70" t="s">
        <v>96</v>
      </c>
      <c r="L1677" s="70" t="s">
        <v>595</v>
      </c>
      <c r="M1677" s="12" t="s">
        <v>918</v>
      </c>
      <c r="N1677" s="26">
        <v>1</v>
      </c>
      <c r="O1677" s="57">
        <f t="shared" si="39"/>
        <v>1440000</v>
      </c>
      <c r="P1677" s="62">
        <f t="shared" si="40"/>
        <v>1440000</v>
      </c>
      <c r="Q1677" s="6" t="s">
        <v>397</v>
      </c>
      <c r="R1677" s="6" t="s">
        <v>770</v>
      </c>
      <c r="S1677" s="38">
        <v>551000000</v>
      </c>
      <c r="T1677" s="26">
        <v>0</v>
      </c>
    </row>
    <row r="1678" spans="1:20" s="14" customFormat="1" ht="54" customHeight="1">
      <c r="A1678" s="2"/>
      <c r="B1678" s="6">
        <v>1662</v>
      </c>
      <c r="C1678" s="16" t="s">
        <v>945</v>
      </c>
      <c r="D1678" s="6" t="s">
        <v>601</v>
      </c>
      <c r="E1678" s="38" t="s">
        <v>711</v>
      </c>
      <c r="F1678" s="70" t="s">
        <v>2064</v>
      </c>
      <c r="G1678" s="70" t="s">
        <v>712</v>
      </c>
      <c r="H1678" s="70" t="s">
        <v>2064</v>
      </c>
      <c r="I1678" s="70" t="s">
        <v>712</v>
      </c>
      <c r="J1678" s="70" t="s">
        <v>2065</v>
      </c>
      <c r="K1678" s="70" t="s">
        <v>96</v>
      </c>
      <c r="L1678" s="70" t="s">
        <v>595</v>
      </c>
      <c r="M1678" s="12" t="s">
        <v>918</v>
      </c>
      <c r="N1678" s="26">
        <v>1</v>
      </c>
      <c r="O1678" s="57">
        <f t="shared" si="39"/>
        <v>1440000</v>
      </c>
      <c r="P1678" s="62">
        <f t="shared" si="40"/>
        <v>1440000</v>
      </c>
      <c r="Q1678" s="6" t="s">
        <v>397</v>
      </c>
      <c r="R1678" s="6" t="s">
        <v>770</v>
      </c>
      <c r="S1678" s="38">
        <v>591000000</v>
      </c>
      <c r="T1678" s="26">
        <v>0</v>
      </c>
    </row>
    <row r="1679" spans="1:20" s="14" customFormat="1" ht="58.5" customHeight="1">
      <c r="A1679" s="2"/>
      <c r="B1679" s="6">
        <v>1663</v>
      </c>
      <c r="C1679" s="16" t="s">
        <v>714</v>
      </c>
      <c r="D1679" s="38" t="s">
        <v>601</v>
      </c>
      <c r="E1679" s="38" t="s">
        <v>711</v>
      </c>
      <c r="F1679" s="70" t="s">
        <v>2064</v>
      </c>
      <c r="G1679" s="70" t="s">
        <v>712</v>
      </c>
      <c r="H1679" s="70" t="s">
        <v>2064</v>
      </c>
      <c r="I1679" s="70" t="s">
        <v>712</v>
      </c>
      <c r="J1679" s="70" t="s">
        <v>2065</v>
      </c>
      <c r="K1679" s="70" t="s">
        <v>96</v>
      </c>
      <c r="L1679" s="70" t="s">
        <v>595</v>
      </c>
      <c r="M1679" s="12" t="s">
        <v>918</v>
      </c>
      <c r="N1679" s="26">
        <v>1</v>
      </c>
      <c r="O1679" s="57">
        <f t="shared" si="39"/>
        <v>1440000</v>
      </c>
      <c r="P1679" s="62">
        <f t="shared" si="40"/>
        <v>1440000</v>
      </c>
      <c r="Q1679" s="6" t="s">
        <v>397</v>
      </c>
      <c r="R1679" s="6" t="s">
        <v>770</v>
      </c>
      <c r="S1679" s="38" t="s">
        <v>2037</v>
      </c>
      <c r="T1679" s="6">
        <v>0</v>
      </c>
    </row>
    <row r="1680" spans="1:20" s="14" customFormat="1" ht="76.5">
      <c r="A1680" s="2"/>
      <c r="B1680" s="6">
        <v>1664</v>
      </c>
      <c r="C1680" s="36" t="s">
        <v>714</v>
      </c>
      <c r="D1680" s="43" t="s">
        <v>601</v>
      </c>
      <c r="E1680" s="38" t="s">
        <v>489</v>
      </c>
      <c r="F1680" s="70" t="s">
        <v>2067</v>
      </c>
      <c r="G1680" s="70" t="s">
        <v>491</v>
      </c>
      <c r="H1680" s="70" t="s">
        <v>2068</v>
      </c>
      <c r="I1680" s="70" t="s">
        <v>492</v>
      </c>
      <c r="J1680" s="70" t="s">
        <v>2066</v>
      </c>
      <c r="K1680" s="70" t="s">
        <v>107</v>
      </c>
      <c r="L1680" s="70" t="s">
        <v>595</v>
      </c>
      <c r="M1680" s="12" t="s">
        <v>918</v>
      </c>
      <c r="N1680" s="26">
        <v>1</v>
      </c>
      <c r="O1680" s="57">
        <v>550836</v>
      </c>
      <c r="P1680" s="62">
        <f t="shared" si="38"/>
        <v>550836</v>
      </c>
      <c r="Q1680" s="6" t="s">
        <v>397</v>
      </c>
      <c r="R1680" s="6" t="s">
        <v>770</v>
      </c>
      <c r="S1680" s="38" t="s">
        <v>2038</v>
      </c>
      <c r="T1680" s="26">
        <v>0</v>
      </c>
    </row>
    <row r="1681" spans="1:20" s="14" customFormat="1" ht="76.5">
      <c r="A1681" s="2"/>
      <c r="B1681" s="6">
        <v>1665</v>
      </c>
      <c r="C1681" s="16" t="s">
        <v>714</v>
      </c>
      <c r="D1681" s="38" t="s">
        <v>601</v>
      </c>
      <c r="E1681" s="38" t="s">
        <v>489</v>
      </c>
      <c r="F1681" s="70" t="s">
        <v>2067</v>
      </c>
      <c r="G1681" s="70" t="s">
        <v>491</v>
      </c>
      <c r="H1681" s="70" t="s">
        <v>2068</v>
      </c>
      <c r="I1681" s="70" t="s">
        <v>492</v>
      </c>
      <c r="J1681" s="70" t="s">
        <v>2066</v>
      </c>
      <c r="K1681" s="70" t="s">
        <v>107</v>
      </c>
      <c r="L1681" s="70" t="s">
        <v>595</v>
      </c>
      <c r="M1681" s="12" t="s">
        <v>918</v>
      </c>
      <c r="N1681" s="26">
        <v>1</v>
      </c>
      <c r="O1681" s="57">
        <v>625000</v>
      </c>
      <c r="P1681" s="62">
        <f t="shared" si="38"/>
        <v>625000</v>
      </c>
      <c r="Q1681" s="6" t="s">
        <v>397</v>
      </c>
      <c r="R1681" s="6" t="s">
        <v>770</v>
      </c>
      <c r="S1681" s="38" t="s">
        <v>1025</v>
      </c>
      <c r="T1681" s="6">
        <v>0</v>
      </c>
    </row>
    <row r="1682" spans="1:20" s="14" customFormat="1" ht="76.5">
      <c r="A1682" s="2"/>
      <c r="B1682" s="6">
        <v>1666</v>
      </c>
      <c r="C1682" s="16" t="s">
        <v>714</v>
      </c>
      <c r="D1682" s="38" t="s">
        <v>601</v>
      </c>
      <c r="E1682" s="38" t="s">
        <v>489</v>
      </c>
      <c r="F1682" s="70" t="s">
        <v>2067</v>
      </c>
      <c r="G1682" s="70" t="s">
        <v>491</v>
      </c>
      <c r="H1682" s="70" t="s">
        <v>2068</v>
      </c>
      <c r="I1682" s="70" t="s">
        <v>492</v>
      </c>
      <c r="J1682" s="70" t="s">
        <v>2066</v>
      </c>
      <c r="K1682" s="70" t="s">
        <v>107</v>
      </c>
      <c r="L1682" s="70" t="s">
        <v>595</v>
      </c>
      <c r="M1682" s="12" t="s">
        <v>918</v>
      </c>
      <c r="N1682" s="26">
        <v>1</v>
      </c>
      <c r="O1682" s="57">
        <v>549762</v>
      </c>
      <c r="P1682" s="62">
        <f t="shared" si="38"/>
        <v>549762</v>
      </c>
      <c r="Q1682" s="6" t="s">
        <v>616</v>
      </c>
      <c r="R1682" s="6" t="s">
        <v>770</v>
      </c>
      <c r="S1682" s="38" t="s">
        <v>793</v>
      </c>
      <c r="T1682" s="6">
        <v>0</v>
      </c>
    </row>
    <row r="1683" spans="1:20" s="14" customFormat="1" ht="76.5">
      <c r="A1683" s="17"/>
      <c r="B1683" s="6">
        <v>1667</v>
      </c>
      <c r="C1683" s="16" t="s">
        <v>714</v>
      </c>
      <c r="D1683" s="38" t="s">
        <v>601</v>
      </c>
      <c r="E1683" s="38" t="s">
        <v>489</v>
      </c>
      <c r="F1683" s="70" t="s">
        <v>2067</v>
      </c>
      <c r="G1683" s="70" t="s">
        <v>491</v>
      </c>
      <c r="H1683" s="70" t="s">
        <v>2068</v>
      </c>
      <c r="I1683" s="70" t="s">
        <v>492</v>
      </c>
      <c r="J1683" s="70" t="s">
        <v>2066</v>
      </c>
      <c r="K1683" s="70" t="s">
        <v>107</v>
      </c>
      <c r="L1683" s="70" t="s">
        <v>595</v>
      </c>
      <c r="M1683" s="12" t="s">
        <v>918</v>
      </c>
      <c r="N1683" s="26">
        <v>1</v>
      </c>
      <c r="O1683" s="57">
        <v>580714</v>
      </c>
      <c r="P1683" s="62">
        <f t="shared" si="38"/>
        <v>580714</v>
      </c>
      <c r="Q1683" s="6" t="s">
        <v>397</v>
      </c>
      <c r="R1683" s="6" t="s">
        <v>770</v>
      </c>
      <c r="S1683" s="38" t="s">
        <v>2031</v>
      </c>
      <c r="T1683" s="26">
        <v>100</v>
      </c>
    </row>
    <row r="1684" spans="1:20" ht="76.5">
      <c r="B1684" s="6">
        <v>1668</v>
      </c>
      <c r="C1684" s="16" t="s">
        <v>714</v>
      </c>
      <c r="D1684" s="38" t="s">
        <v>601</v>
      </c>
      <c r="E1684" s="38" t="s">
        <v>489</v>
      </c>
      <c r="F1684" s="70" t="s">
        <v>2067</v>
      </c>
      <c r="G1684" s="70" t="s">
        <v>491</v>
      </c>
      <c r="H1684" s="70" t="s">
        <v>2068</v>
      </c>
      <c r="I1684" s="70" t="s">
        <v>492</v>
      </c>
      <c r="J1684" s="70" t="s">
        <v>2066</v>
      </c>
      <c r="K1684" s="70" t="s">
        <v>107</v>
      </c>
      <c r="L1684" s="70" t="s">
        <v>595</v>
      </c>
      <c r="M1684" s="12" t="s">
        <v>918</v>
      </c>
      <c r="N1684" s="26">
        <v>1</v>
      </c>
      <c r="O1684" s="57">
        <v>600000</v>
      </c>
      <c r="P1684" s="62">
        <f t="shared" si="38"/>
        <v>600000</v>
      </c>
      <c r="Q1684" s="6" t="s">
        <v>616</v>
      </c>
      <c r="R1684" s="6" t="s">
        <v>770</v>
      </c>
      <c r="S1684" s="38" t="s">
        <v>637</v>
      </c>
      <c r="T1684" s="26">
        <v>0</v>
      </c>
    </row>
    <row r="1685" spans="1:20" s="42" customFormat="1" ht="76.5">
      <c r="A1685" s="41"/>
      <c r="B1685" s="6">
        <v>1669</v>
      </c>
      <c r="C1685" s="16" t="s">
        <v>714</v>
      </c>
      <c r="D1685" s="38" t="s">
        <v>601</v>
      </c>
      <c r="E1685" s="38" t="s">
        <v>489</v>
      </c>
      <c r="F1685" s="70" t="s">
        <v>2067</v>
      </c>
      <c r="G1685" s="70" t="s">
        <v>491</v>
      </c>
      <c r="H1685" s="70" t="s">
        <v>2068</v>
      </c>
      <c r="I1685" s="70" t="s">
        <v>492</v>
      </c>
      <c r="J1685" s="70" t="s">
        <v>2066</v>
      </c>
      <c r="K1685" s="70" t="s">
        <v>107</v>
      </c>
      <c r="L1685" s="70" t="s">
        <v>595</v>
      </c>
      <c r="M1685" s="12" t="s">
        <v>918</v>
      </c>
      <c r="N1685" s="26">
        <v>1</v>
      </c>
      <c r="O1685" s="57">
        <v>535714</v>
      </c>
      <c r="P1685" s="62">
        <f t="shared" si="38"/>
        <v>535714</v>
      </c>
      <c r="Q1685" s="6" t="s">
        <v>395</v>
      </c>
      <c r="R1685" s="6" t="s">
        <v>770</v>
      </c>
      <c r="S1685" s="38">
        <v>311000000</v>
      </c>
      <c r="T1685" s="26">
        <v>0</v>
      </c>
    </row>
    <row r="1686" spans="1:20" s="45" customFormat="1" ht="76.5">
      <c r="A1686" s="44"/>
      <c r="B1686" s="6">
        <v>1670</v>
      </c>
      <c r="C1686" s="16" t="s">
        <v>714</v>
      </c>
      <c r="D1686" s="38" t="s">
        <v>601</v>
      </c>
      <c r="E1686" s="38" t="s">
        <v>489</v>
      </c>
      <c r="F1686" s="70" t="s">
        <v>2067</v>
      </c>
      <c r="G1686" s="70" t="s">
        <v>491</v>
      </c>
      <c r="H1686" s="70" t="s">
        <v>2068</v>
      </c>
      <c r="I1686" s="70" t="s">
        <v>492</v>
      </c>
      <c r="J1686" s="70" t="s">
        <v>2066</v>
      </c>
      <c r="K1686" s="70" t="s">
        <v>107</v>
      </c>
      <c r="L1686" s="70" t="s">
        <v>595</v>
      </c>
      <c r="M1686" s="12" t="s">
        <v>918</v>
      </c>
      <c r="N1686" s="26">
        <v>1</v>
      </c>
      <c r="O1686" s="57">
        <v>616554</v>
      </c>
      <c r="P1686" s="62">
        <f t="shared" si="38"/>
        <v>616554</v>
      </c>
      <c r="Q1686" s="6" t="s">
        <v>397</v>
      </c>
      <c r="R1686" s="6" t="s">
        <v>770</v>
      </c>
      <c r="S1686" s="38" t="s">
        <v>2032</v>
      </c>
      <c r="T1686" s="26">
        <v>0</v>
      </c>
    </row>
    <row r="1687" spans="1:20" s="14" customFormat="1" ht="76.5">
      <c r="A1687" s="2"/>
      <c r="B1687" s="6">
        <v>1671</v>
      </c>
      <c r="C1687" s="16" t="s">
        <v>714</v>
      </c>
      <c r="D1687" s="38" t="s">
        <v>601</v>
      </c>
      <c r="E1687" s="38" t="s">
        <v>489</v>
      </c>
      <c r="F1687" s="70" t="s">
        <v>2067</v>
      </c>
      <c r="G1687" s="70" t="s">
        <v>491</v>
      </c>
      <c r="H1687" s="70" t="s">
        <v>2068</v>
      </c>
      <c r="I1687" s="70" t="s">
        <v>492</v>
      </c>
      <c r="J1687" s="70" t="s">
        <v>2066</v>
      </c>
      <c r="K1687" s="70" t="s">
        <v>107</v>
      </c>
      <c r="L1687" s="70" t="s">
        <v>595</v>
      </c>
      <c r="M1687" s="12" t="s">
        <v>918</v>
      </c>
      <c r="N1687" s="26">
        <v>1</v>
      </c>
      <c r="O1687" s="57">
        <v>535714</v>
      </c>
      <c r="P1687" s="62">
        <f t="shared" si="38"/>
        <v>535714</v>
      </c>
      <c r="Q1687" s="6" t="s">
        <v>397</v>
      </c>
      <c r="R1687" s="6" t="s">
        <v>770</v>
      </c>
      <c r="S1687" s="38">
        <v>351000000</v>
      </c>
      <c r="T1687" s="26">
        <v>0</v>
      </c>
    </row>
    <row r="1688" spans="1:20" ht="76.5">
      <c r="B1688" s="6">
        <v>1672</v>
      </c>
      <c r="C1688" s="16" t="s">
        <v>714</v>
      </c>
      <c r="D1688" s="38" t="s">
        <v>601</v>
      </c>
      <c r="E1688" s="38" t="s">
        <v>489</v>
      </c>
      <c r="F1688" s="70" t="s">
        <v>2067</v>
      </c>
      <c r="G1688" s="70" t="s">
        <v>491</v>
      </c>
      <c r="H1688" s="70" t="s">
        <v>2068</v>
      </c>
      <c r="I1688" s="70" t="s">
        <v>492</v>
      </c>
      <c r="J1688" s="70" t="s">
        <v>2066</v>
      </c>
      <c r="K1688" s="70" t="s">
        <v>107</v>
      </c>
      <c r="L1688" s="70" t="s">
        <v>595</v>
      </c>
      <c r="M1688" s="12" t="s">
        <v>918</v>
      </c>
      <c r="N1688" s="26">
        <v>1</v>
      </c>
      <c r="O1688" s="57">
        <v>625000</v>
      </c>
      <c r="P1688" s="62">
        <f t="shared" si="38"/>
        <v>625000</v>
      </c>
      <c r="Q1688" s="6" t="s">
        <v>519</v>
      </c>
      <c r="R1688" s="6" t="s">
        <v>770</v>
      </c>
      <c r="S1688" s="38" t="s">
        <v>929</v>
      </c>
      <c r="T1688" s="26">
        <v>50</v>
      </c>
    </row>
    <row r="1689" spans="1:20" s="14" customFormat="1" ht="76.5">
      <c r="A1689" s="2"/>
      <c r="B1689" s="6">
        <v>1673</v>
      </c>
      <c r="C1689" s="16" t="s">
        <v>714</v>
      </c>
      <c r="D1689" s="38" t="s">
        <v>601</v>
      </c>
      <c r="E1689" s="38" t="s">
        <v>489</v>
      </c>
      <c r="F1689" s="70" t="s">
        <v>2067</v>
      </c>
      <c r="G1689" s="70" t="s">
        <v>491</v>
      </c>
      <c r="H1689" s="70" t="s">
        <v>2068</v>
      </c>
      <c r="I1689" s="70" t="s">
        <v>492</v>
      </c>
      <c r="J1689" s="70" t="s">
        <v>2066</v>
      </c>
      <c r="K1689" s="70" t="s">
        <v>107</v>
      </c>
      <c r="L1689" s="70" t="s">
        <v>595</v>
      </c>
      <c r="M1689" s="12" t="s">
        <v>918</v>
      </c>
      <c r="N1689" s="26">
        <v>1</v>
      </c>
      <c r="O1689" s="57">
        <v>625000</v>
      </c>
      <c r="P1689" s="62">
        <f t="shared" si="38"/>
        <v>625000</v>
      </c>
      <c r="Q1689" s="6" t="s">
        <v>397</v>
      </c>
      <c r="R1689" s="6" t="s">
        <v>770</v>
      </c>
      <c r="S1689" s="38">
        <v>431000000</v>
      </c>
      <c r="T1689" s="26">
        <v>0</v>
      </c>
    </row>
    <row r="1690" spans="1:20" ht="76.5">
      <c r="B1690" s="6">
        <v>1674</v>
      </c>
      <c r="C1690" s="36" t="s">
        <v>714</v>
      </c>
      <c r="D1690" s="43" t="s">
        <v>601</v>
      </c>
      <c r="E1690" s="38" t="s">
        <v>489</v>
      </c>
      <c r="F1690" s="70" t="s">
        <v>2067</v>
      </c>
      <c r="G1690" s="70" t="s">
        <v>491</v>
      </c>
      <c r="H1690" s="70" t="s">
        <v>2068</v>
      </c>
      <c r="I1690" s="70" t="s">
        <v>492</v>
      </c>
      <c r="J1690" s="70" t="s">
        <v>2066</v>
      </c>
      <c r="K1690" s="70" t="s">
        <v>107</v>
      </c>
      <c r="L1690" s="70" t="s">
        <v>595</v>
      </c>
      <c r="M1690" s="12" t="s">
        <v>918</v>
      </c>
      <c r="N1690" s="26">
        <v>1</v>
      </c>
      <c r="O1690" s="57">
        <v>535714</v>
      </c>
      <c r="P1690" s="62">
        <f t="shared" si="38"/>
        <v>535714</v>
      </c>
      <c r="Q1690" s="6" t="s">
        <v>397</v>
      </c>
      <c r="R1690" s="6" t="s">
        <v>770</v>
      </c>
      <c r="S1690" s="38" t="s">
        <v>719</v>
      </c>
      <c r="T1690" s="26">
        <v>0</v>
      </c>
    </row>
    <row r="1691" spans="1:20" s="39" customFormat="1" ht="76.5">
      <c r="B1691" s="6">
        <v>1675</v>
      </c>
      <c r="C1691" s="16" t="s">
        <v>714</v>
      </c>
      <c r="D1691" s="38" t="s">
        <v>601</v>
      </c>
      <c r="E1691" s="38" t="s">
        <v>489</v>
      </c>
      <c r="F1691" s="70" t="s">
        <v>2067</v>
      </c>
      <c r="G1691" s="70" t="s">
        <v>491</v>
      </c>
      <c r="H1691" s="70" t="s">
        <v>2068</v>
      </c>
      <c r="I1691" s="70" t="s">
        <v>492</v>
      </c>
      <c r="J1691" s="70" t="s">
        <v>2066</v>
      </c>
      <c r="K1691" s="70" t="s">
        <v>107</v>
      </c>
      <c r="L1691" s="70" t="s">
        <v>595</v>
      </c>
      <c r="M1691" s="12" t="s">
        <v>918</v>
      </c>
      <c r="N1691" s="26">
        <v>1</v>
      </c>
      <c r="O1691" s="57">
        <v>535714</v>
      </c>
      <c r="P1691" s="62">
        <f t="shared" si="38"/>
        <v>535714</v>
      </c>
      <c r="Q1691" s="6" t="s">
        <v>397</v>
      </c>
      <c r="R1691" s="6" t="s">
        <v>770</v>
      </c>
      <c r="S1691" s="38">
        <v>551000000</v>
      </c>
      <c r="T1691" s="26">
        <v>0</v>
      </c>
    </row>
    <row r="1692" spans="1:20" s="14" customFormat="1" ht="76.5">
      <c r="A1692" s="2"/>
      <c r="B1692" s="6">
        <v>1676</v>
      </c>
      <c r="C1692" s="16" t="s">
        <v>945</v>
      </c>
      <c r="D1692" s="6" t="s">
        <v>601</v>
      </c>
      <c r="E1692" s="38" t="s">
        <v>489</v>
      </c>
      <c r="F1692" s="70" t="s">
        <v>2067</v>
      </c>
      <c r="G1692" s="70" t="s">
        <v>491</v>
      </c>
      <c r="H1692" s="70" t="s">
        <v>2068</v>
      </c>
      <c r="I1692" s="70" t="s">
        <v>492</v>
      </c>
      <c r="J1692" s="70" t="s">
        <v>2066</v>
      </c>
      <c r="K1692" s="70" t="s">
        <v>107</v>
      </c>
      <c r="L1692" s="70" t="s">
        <v>595</v>
      </c>
      <c r="M1692" s="12" t="s">
        <v>918</v>
      </c>
      <c r="N1692" s="26">
        <v>1</v>
      </c>
      <c r="O1692" s="57">
        <v>513393</v>
      </c>
      <c r="P1692" s="62">
        <f t="shared" si="38"/>
        <v>513393</v>
      </c>
      <c r="Q1692" s="6" t="s">
        <v>395</v>
      </c>
      <c r="R1692" s="6" t="s">
        <v>770</v>
      </c>
      <c r="S1692" s="38">
        <v>591000000</v>
      </c>
      <c r="T1692" s="26">
        <v>100</v>
      </c>
    </row>
    <row r="1693" spans="1:20" s="14" customFormat="1" ht="76.5">
      <c r="A1693" s="2"/>
      <c r="B1693" s="6">
        <v>1677</v>
      </c>
      <c r="C1693" s="16" t="s">
        <v>714</v>
      </c>
      <c r="D1693" s="38" t="s">
        <v>601</v>
      </c>
      <c r="E1693" s="38" t="s">
        <v>489</v>
      </c>
      <c r="F1693" s="70" t="s">
        <v>2067</v>
      </c>
      <c r="G1693" s="70" t="s">
        <v>491</v>
      </c>
      <c r="H1693" s="70" t="s">
        <v>2068</v>
      </c>
      <c r="I1693" s="70" t="s">
        <v>492</v>
      </c>
      <c r="J1693" s="70" t="s">
        <v>2066</v>
      </c>
      <c r="K1693" s="70" t="s">
        <v>107</v>
      </c>
      <c r="L1693" s="70" t="s">
        <v>595</v>
      </c>
      <c r="M1693" s="12" t="s">
        <v>918</v>
      </c>
      <c r="N1693" s="26">
        <v>1</v>
      </c>
      <c r="O1693" s="57">
        <f>P1693/N1693</f>
        <v>424107</v>
      </c>
      <c r="P1693" s="62">
        <f>508929-84822</f>
        <v>424107</v>
      </c>
      <c r="Q1693" s="6" t="s">
        <v>519</v>
      </c>
      <c r="R1693" s="6" t="s">
        <v>770</v>
      </c>
      <c r="S1693" s="38" t="s">
        <v>2037</v>
      </c>
      <c r="T1693" s="6">
        <v>0</v>
      </c>
    </row>
    <row r="1694" spans="1:20" s="14" customFormat="1" ht="51">
      <c r="A1694" s="2"/>
      <c r="B1694" s="6">
        <v>1678</v>
      </c>
      <c r="C1694" s="36" t="s">
        <v>714</v>
      </c>
      <c r="D1694" s="43" t="s">
        <v>601</v>
      </c>
      <c r="E1694" s="38" t="s">
        <v>493</v>
      </c>
      <c r="F1694" s="70" t="s">
        <v>2042</v>
      </c>
      <c r="G1694" s="70" t="s">
        <v>494</v>
      </c>
      <c r="H1694" s="70" t="s">
        <v>2042</v>
      </c>
      <c r="I1694" s="70" t="s">
        <v>495</v>
      </c>
      <c r="J1694" s="70" t="s">
        <v>2041</v>
      </c>
      <c r="K1694" s="70" t="s">
        <v>110</v>
      </c>
      <c r="L1694" s="70" t="s">
        <v>595</v>
      </c>
      <c r="M1694" s="12" t="s">
        <v>918</v>
      </c>
      <c r="N1694" s="26">
        <v>1</v>
      </c>
      <c r="O1694" s="57">
        <v>171429</v>
      </c>
      <c r="P1694" s="62">
        <f t="shared" si="38"/>
        <v>171429</v>
      </c>
      <c r="Q1694" s="6" t="s">
        <v>397</v>
      </c>
      <c r="R1694" s="6" t="s">
        <v>770</v>
      </c>
      <c r="S1694" s="38" t="s">
        <v>2038</v>
      </c>
      <c r="T1694" s="26">
        <v>0</v>
      </c>
    </row>
    <row r="1695" spans="1:20" s="14" customFormat="1" ht="51">
      <c r="A1695" s="2"/>
      <c r="B1695" s="6">
        <v>1679</v>
      </c>
      <c r="C1695" s="16" t="s">
        <v>714</v>
      </c>
      <c r="D1695" s="38" t="s">
        <v>601</v>
      </c>
      <c r="E1695" s="38" t="s">
        <v>1044</v>
      </c>
      <c r="F1695" s="70" t="s">
        <v>2042</v>
      </c>
      <c r="G1695" s="70" t="s">
        <v>494</v>
      </c>
      <c r="H1695" s="70" t="s">
        <v>2042</v>
      </c>
      <c r="I1695" s="70" t="s">
        <v>495</v>
      </c>
      <c r="J1695" s="70" t="s">
        <v>2041</v>
      </c>
      <c r="K1695" s="70" t="s">
        <v>110</v>
      </c>
      <c r="L1695" s="70" t="s">
        <v>595</v>
      </c>
      <c r="M1695" s="12" t="s">
        <v>918</v>
      </c>
      <c r="N1695" s="26">
        <v>1</v>
      </c>
      <c r="O1695" s="57">
        <v>171429</v>
      </c>
      <c r="P1695" s="62">
        <f t="shared" si="38"/>
        <v>171429</v>
      </c>
      <c r="Q1695" s="6" t="s">
        <v>397</v>
      </c>
      <c r="R1695" s="6" t="s">
        <v>770</v>
      </c>
      <c r="S1695" s="38" t="s">
        <v>1025</v>
      </c>
      <c r="T1695" s="6">
        <v>0</v>
      </c>
    </row>
    <row r="1696" spans="1:20" s="14" customFormat="1" ht="51">
      <c r="A1696" s="2"/>
      <c r="B1696" s="6">
        <v>1680</v>
      </c>
      <c r="C1696" s="16" t="s">
        <v>714</v>
      </c>
      <c r="D1696" s="38" t="s">
        <v>601</v>
      </c>
      <c r="E1696" s="38" t="s">
        <v>493</v>
      </c>
      <c r="F1696" s="70" t="s">
        <v>2042</v>
      </c>
      <c r="G1696" s="70" t="s">
        <v>494</v>
      </c>
      <c r="H1696" s="70" t="s">
        <v>2042</v>
      </c>
      <c r="I1696" s="70" t="s">
        <v>495</v>
      </c>
      <c r="J1696" s="70" t="s">
        <v>2041</v>
      </c>
      <c r="K1696" s="70" t="s">
        <v>110</v>
      </c>
      <c r="L1696" s="70" t="s">
        <v>595</v>
      </c>
      <c r="M1696" s="12" t="s">
        <v>918</v>
      </c>
      <c r="N1696" s="26">
        <v>1</v>
      </c>
      <c r="O1696" s="57">
        <v>171429</v>
      </c>
      <c r="P1696" s="62">
        <f t="shared" si="38"/>
        <v>171429</v>
      </c>
      <c r="Q1696" s="6" t="s">
        <v>397</v>
      </c>
      <c r="R1696" s="6" t="s">
        <v>770</v>
      </c>
      <c r="S1696" s="38" t="s">
        <v>793</v>
      </c>
      <c r="T1696" s="6">
        <v>0</v>
      </c>
    </row>
    <row r="1697" spans="1:20" s="14" customFormat="1" ht="51">
      <c r="A1697" s="17"/>
      <c r="B1697" s="6">
        <v>1681</v>
      </c>
      <c r="C1697" s="16" t="s">
        <v>714</v>
      </c>
      <c r="D1697" s="38" t="s">
        <v>601</v>
      </c>
      <c r="E1697" s="38" t="s">
        <v>493</v>
      </c>
      <c r="F1697" s="70" t="s">
        <v>2042</v>
      </c>
      <c r="G1697" s="70" t="s">
        <v>494</v>
      </c>
      <c r="H1697" s="70" t="s">
        <v>2042</v>
      </c>
      <c r="I1697" s="70" t="s">
        <v>495</v>
      </c>
      <c r="J1697" s="70" t="s">
        <v>2041</v>
      </c>
      <c r="K1697" s="70" t="s">
        <v>110</v>
      </c>
      <c r="L1697" s="70" t="s">
        <v>595</v>
      </c>
      <c r="M1697" s="12" t="s">
        <v>918</v>
      </c>
      <c r="N1697" s="26">
        <v>1</v>
      </c>
      <c r="O1697" s="57">
        <v>171429</v>
      </c>
      <c r="P1697" s="62">
        <f t="shared" si="38"/>
        <v>171429</v>
      </c>
      <c r="Q1697" s="6" t="s">
        <v>397</v>
      </c>
      <c r="R1697" s="6" t="s">
        <v>770</v>
      </c>
      <c r="S1697" s="38" t="s">
        <v>2031</v>
      </c>
      <c r="T1697" s="26">
        <v>100</v>
      </c>
    </row>
    <row r="1698" spans="1:20" ht="51">
      <c r="B1698" s="6">
        <v>1682</v>
      </c>
      <c r="C1698" s="16" t="s">
        <v>714</v>
      </c>
      <c r="D1698" s="38" t="s">
        <v>601</v>
      </c>
      <c r="E1698" s="38" t="s">
        <v>493</v>
      </c>
      <c r="F1698" s="70" t="s">
        <v>2042</v>
      </c>
      <c r="G1698" s="70" t="s">
        <v>494</v>
      </c>
      <c r="H1698" s="70" t="s">
        <v>2042</v>
      </c>
      <c r="I1698" s="70" t="s">
        <v>495</v>
      </c>
      <c r="J1698" s="70" t="s">
        <v>2041</v>
      </c>
      <c r="K1698" s="70" t="s">
        <v>110</v>
      </c>
      <c r="L1698" s="70" t="s">
        <v>595</v>
      </c>
      <c r="M1698" s="12" t="s">
        <v>918</v>
      </c>
      <c r="N1698" s="26">
        <v>1</v>
      </c>
      <c r="O1698" s="57">
        <v>171429</v>
      </c>
      <c r="P1698" s="62">
        <f t="shared" si="38"/>
        <v>171429</v>
      </c>
      <c r="Q1698" s="6" t="s">
        <v>397</v>
      </c>
      <c r="R1698" s="6" t="s">
        <v>770</v>
      </c>
      <c r="S1698" s="38" t="s">
        <v>637</v>
      </c>
      <c r="T1698" s="26">
        <v>0</v>
      </c>
    </row>
    <row r="1699" spans="1:20" s="42" customFormat="1" ht="51">
      <c r="A1699" s="41"/>
      <c r="B1699" s="6">
        <v>1683</v>
      </c>
      <c r="C1699" s="16" t="s">
        <v>714</v>
      </c>
      <c r="D1699" s="38" t="s">
        <v>601</v>
      </c>
      <c r="E1699" s="38" t="s">
        <v>493</v>
      </c>
      <c r="F1699" s="70" t="s">
        <v>2042</v>
      </c>
      <c r="G1699" s="70" t="s">
        <v>494</v>
      </c>
      <c r="H1699" s="70" t="s">
        <v>2042</v>
      </c>
      <c r="I1699" s="70" t="s">
        <v>495</v>
      </c>
      <c r="J1699" s="70" t="s">
        <v>2041</v>
      </c>
      <c r="K1699" s="70" t="s">
        <v>110</v>
      </c>
      <c r="L1699" s="70" t="s">
        <v>595</v>
      </c>
      <c r="M1699" s="12" t="s">
        <v>918</v>
      </c>
      <c r="N1699" s="26">
        <v>1</v>
      </c>
      <c r="O1699" s="57">
        <v>171429</v>
      </c>
      <c r="P1699" s="62">
        <f t="shared" si="38"/>
        <v>171429</v>
      </c>
      <c r="Q1699" s="6" t="s">
        <v>397</v>
      </c>
      <c r="R1699" s="6" t="s">
        <v>770</v>
      </c>
      <c r="S1699" s="38">
        <v>311000000</v>
      </c>
      <c r="T1699" s="26">
        <v>0</v>
      </c>
    </row>
    <row r="1700" spans="1:20" s="45" customFormat="1" ht="51">
      <c r="A1700" s="44"/>
      <c r="B1700" s="6">
        <v>1684</v>
      </c>
      <c r="C1700" s="16" t="s">
        <v>714</v>
      </c>
      <c r="D1700" s="38" t="s">
        <v>601</v>
      </c>
      <c r="E1700" s="38" t="s">
        <v>493</v>
      </c>
      <c r="F1700" s="70" t="s">
        <v>2042</v>
      </c>
      <c r="G1700" s="70" t="s">
        <v>494</v>
      </c>
      <c r="H1700" s="70" t="s">
        <v>2042</v>
      </c>
      <c r="I1700" s="70" t="s">
        <v>495</v>
      </c>
      <c r="J1700" s="70" t="s">
        <v>2041</v>
      </c>
      <c r="K1700" s="70" t="s">
        <v>110</v>
      </c>
      <c r="L1700" s="70" t="s">
        <v>595</v>
      </c>
      <c r="M1700" s="12" t="s">
        <v>918</v>
      </c>
      <c r="N1700" s="26">
        <v>1</v>
      </c>
      <c r="O1700" s="57">
        <v>171429</v>
      </c>
      <c r="P1700" s="62">
        <f t="shared" si="38"/>
        <v>171429</v>
      </c>
      <c r="Q1700" s="6" t="s">
        <v>397</v>
      </c>
      <c r="R1700" s="6" t="s">
        <v>770</v>
      </c>
      <c r="S1700" s="38" t="s">
        <v>2032</v>
      </c>
      <c r="T1700" s="26">
        <v>0</v>
      </c>
    </row>
    <row r="1701" spans="1:20" s="14" customFormat="1" ht="51">
      <c r="A1701" s="2"/>
      <c r="B1701" s="6">
        <v>1685</v>
      </c>
      <c r="C1701" s="16" t="s">
        <v>714</v>
      </c>
      <c r="D1701" s="38" t="s">
        <v>601</v>
      </c>
      <c r="E1701" s="38" t="s">
        <v>493</v>
      </c>
      <c r="F1701" s="70" t="s">
        <v>2042</v>
      </c>
      <c r="G1701" s="70" t="s">
        <v>494</v>
      </c>
      <c r="H1701" s="70" t="s">
        <v>2042</v>
      </c>
      <c r="I1701" s="70" t="s">
        <v>495</v>
      </c>
      <c r="J1701" s="70" t="s">
        <v>2041</v>
      </c>
      <c r="K1701" s="70" t="s">
        <v>110</v>
      </c>
      <c r="L1701" s="70" t="s">
        <v>595</v>
      </c>
      <c r="M1701" s="12" t="s">
        <v>918</v>
      </c>
      <c r="N1701" s="26">
        <v>1</v>
      </c>
      <c r="O1701" s="57">
        <v>171429</v>
      </c>
      <c r="P1701" s="62">
        <f t="shared" si="38"/>
        <v>171429</v>
      </c>
      <c r="Q1701" s="6" t="s">
        <v>397</v>
      </c>
      <c r="R1701" s="6" t="s">
        <v>770</v>
      </c>
      <c r="S1701" s="38">
        <v>351000000</v>
      </c>
      <c r="T1701" s="26">
        <v>0</v>
      </c>
    </row>
    <row r="1702" spans="1:20" ht="51">
      <c r="B1702" s="6">
        <v>1686</v>
      </c>
      <c r="C1702" s="16" t="s">
        <v>714</v>
      </c>
      <c r="D1702" s="38" t="s">
        <v>601</v>
      </c>
      <c r="E1702" s="38" t="s">
        <v>940</v>
      </c>
      <c r="F1702" s="70" t="s">
        <v>2042</v>
      </c>
      <c r="G1702" s="70" t="s">
        <v>494</v>
      </c>
      <c r="H1702" s="70" t="s">
        <v>2042</v>
      </c>
      <c r="I1702" s="70" t="s">
        <v>495</v>
      </c>
      <c r="J1702" s="70" t="s">
        <v>2041</v>
      </c>
      <c r="K1702" s="70" t="s">
        <v>110</v>
      </c>
      <c r="L1702" s="70" t="s">
        <v>595</v>
      </c>
      <c r="M1702" s="12" t="s">
        <v>918</v>
      </c>
      <c r="N1702" s="26">
        <v>1</v>
      </c>
      <c r="O1702" s="57">
        <v>171429</v>
      </c>
      <c r="P1702" s="62">
        <f t="shared" si="38"/>
        <v>171429</v>
      </c>
      <c r="Q1702" s="6" t="s">
        <v>616</v>
      </c>
      <c r="R1702" s="6" t="s">
        <v>770</v>
      </c>
      <c r="S1702" s="38" t="s">
        <v>929</v>
      </c>
      <c r="T1702" s="26">
        <v>0</v>
      </c>
    </row>
    <row r="1703" spans="1:20" s="14" customFormat="1" ht="51">
      <c r="A1703" s="2"/>
      <c r="B1703" s="6">
        <v>1687</v>
      </c>
      <c r="C1703" s="16" t="s">
        <v>714</v>
      </c>
      <c r="D1703" s="38" t="s">
        <v>601</v>
      </c>
      <c r="E1703" s="38" t="s">
        <v>493</v>
      </c>
      <c r="F1703" s="70" t="s">
        <v>2042</v>
      </c>
      <c r="G1703" s="70" t="s">
        <v>494</v>
      </c>
      <c r="H1703" s="70" t="s">
        <v>2042</v>
      </c>
      <c r="I1703" s="70" t="s">
        <v>495</v>
      </c>
      <c r="J1703" s="70" t="s">
        <v>2041</v>
      </c>
      <c r="K1703" s="70" t="s">
        <v>110</v>
      </c>
      <c r="L1703" s="70" t="s">
        <v>595</v>
      </c>
      <c r="M1703" s="12" t="s">
        <v>918</v>
      </c>
      <c r="N1703" s="26">
        <v>1</v>
      </c>
      <c r="O1703" s="57">
        <f>P1703/N1703</f>
        <v>128571.75</v>
      </c>
      <c r="P1703" s="62">
        <f>171429-42857.25</f>
        <v>128571.75</v>
      </c>
      <c r="Q1703" s="6" t="s">
        <v>616</v>
      </c>
      <c r="R1703" s="6" t="s">
        <v>770</v>
      </c>
      <c r="S1703" s="38">
        <v>431000000</v>
      </c>
      <c r="T1703" s="26">
        <v>0</v>
      </c>
    </row>
    <row r="1704" spans="1:20" ht="51">
      <c r="B1704" s="6">
        <v>1688</v>
      </c>
      <c r="C1704" s="36" t="s">
        <v>714</v>
      </c>
      <c r="D1704" s="43" t="s">
        <v>601</v>
      </c>
      <c r="E1704" s="38" t="s">
        <v>493</v>
      </c>
      <c r="F1704" s="70" t="s">
        <v>2042</v>
      </c>
      <c r="G1704" s="70" t="s">
        <v>494</v>
      </c>
      <c r="H1704" s="70" t="s">
        <v>2042</v>
      </c>
      <c r="I1704" s="70" t="s">
        <v>495</v>
      </c>
      <c r="J1704" s="70" t="s">
        <v>2041</v>
      </c>
      <c r="K1704" s="70" t="s">
        <v>110</v>
      </c>
      <c r="L1704" s="70" t="s">
        <v>595</v>
      </c>
      <c r="M1704" s="12" t="s">
        <v>918</v>
      </c>
      <c r="N1704" s="26">
        <v>1</v>
      </c>
      <c r="O1704" s="57">
        <v>171429</v>
      </c>
      <c r="P1704" s="62">
        <f t="shared" si="38"/>
        <v>171429</v>
      </c>
      <c r="Q1704" s="6" t="s">
        <v>397</v>
      </c>
      <c r="R1704" s="6" t="s">
        <v>770</v>
      </c>
      <c r="S1704" s="38" t="s">
        <v>719</v>
      </c>
      <c r="T1704" s="26">
        <v>100</v>
      </c>
    </row>
    <row r="1705" spans="1:20" s="39" customFormat="1" ht="57" customHeight="1">
      <c r="B1705" s="6">
        <v>1689</v>
      </c>
      <c r="C1705" s="16" t="s">
        <v>714</v>
      </c>
      <c r="D1705" s="38" t="s">
        <v>601</v>
      </c>
      <c r="E1705" s="38" t="s">
        <v>493</v>
      </c>
      <c r="F1705" s="70" t="s">
        <v>2042</v>
      </c>
      <c r="G1705" s="70" t="s">
        <v>494</v>
      </c>
      <c r="H1705" s="70" t="s">
        <v>2042</v>
      </c>
      <c r="I1705" s="70" t="s">
        <v>495</v>
      </c>
      <c r="J1705" s="70" t="s">
        <v>2041</v>
      </c>
      <c r="K1705" s="70" t="s">
        <v>110</v>
      </c>
      <c r="L1705" s="70" t="s">
        <v>595</v>
      </c>
      <c r="M1705" s="12" t="s">
        <v>918</v>
      </c>
      <c r="N1705" s="26">
        <v>1</v>
      </c>
      <c r="O1705" s="57">
        <v>171429</v>
      </c>
      <c r="P1705" s="62">
        <f t="shared" ref="P1705:P1719" si="41">N1705*O1705</f>
        <v>171429</v>
      </c>
      <c r="Q1705" s="6" t="s">
        <v>397</v>
      </c>
      <c r="R1705" s="6" t="s">
        <v>770</v>
      </c>
      <c r="S1705" s="38">
        <v>551000000</v>
      </c>
      <c r="T1705" s="26">
        <v>0</v>
      </c>
    </row>
    <row r="1706" spans="1:20" s="14" customFormat="1" ht="51">
      <c r="A1706" s="2"/>
      <c r="B1706" s="6">
        <v>1690</v>
      </c>
      <c r="C1706" s="16" t="s">
        <v>945</v>
      </c>
      <c r="D1706" s="6" t="s">
        <v>601</v>
      </c>
      <c r="E1706" s="38" t="s">
        <v>493</v>
      </c>
      <c r="F1706" s="70" t="s">
        <v>2042</v>
      </c>
      <c r="G1706" s="70" t="s">
        <v>494</v>
      </c>
      <c r="H1706" s="70" t="s">
        <v>2042</v>
      </c>
      <c r="I1706" s="70" t="s">
        <v>495</v>
      </c>
      <c r="J1706" s="70" t="s">
        <v>2041</v>
      </c>
      <c r="K1706" s="70" t="s">
        <v>110</v>
      </c>
      <c r="L1706" s="70" t="s">
        <v>595</v>
      </c>
      <c r="M1706" s="12" t="s">
        <v>918</v>
      </c>
      <c r="N1706" s="26">
        <v>1</v>
      </c>
      <c r="O1706" s="57">
        <v>171429</v>
      </c>
      <c r="P1706" s="62">
        <f t="shared" si="41"/>
        <v>171429</v>
      </c>
      <c r="Q1706" s="6" t="s">
        <v>397</v>
      </c>
      <c r="R1706" s="6" t="s">
        <v>770</v>
      </c>
      <c r="S1706" s="38">
        <v>591000000</v>
      </c>
      <c r="T1706" s="26">
        <v>0</v>
      </c>
    </row>
    <row r="1707" spans="1:20" s="14" customFormat="1" ht="51">
      <c r="A1707" s="2"/>
      <c r="B1707" s="6">
        <v>1691</v>
      </c>
      <c r="C1707" s="16" t="s">
        <v>714</v>
      </c>
      <c r="D1707" s="38" t="s">
        <v>601</v>
      </c>
      <c r="E1707" s="38" t="s">
        <v>493</v>
      </c>
      <c r="F1707" s="70" t="s">
        <v>2042</v>
      </c>
      <c r="G1707" s="70" t="s">
        <v>494</v>
      </c>
      <c r="H1707" s="70" t="s">
        <v>2042</v>
      </c>
      <c r="I1707" s="70" t="s">
        <v>495</v>
      </c>
      <c r="J1707" s="70" t="s">
        <v>2041</v>
      </c>
      <c r="K1707" s="70" t="s">
        <v>110</v>
      </c>
      <c r="L1707" s="70" t="s">
        <v>595</v>
      </c>
      <c r="M1707" s="12" t="s">
        <v>918</v>
      </c>
      <c r="N1707" s="26">
        <v>1</v>
      </c>
      <c r="O1707" s="57">
        <f>P1707/N1707</f>
        <v>142857</v>
      </c>
      <c r="P1707" s="62">
        <f>171429-28572</f>
        <v>142857</v>
      </c>
      <c r="Q1707" s="6" t="s">
        <v>519</v>
      </c>
      <c r="R1707" s="6" t="s">
        <v>770</v>
      </c>
      <c r="S1707" s="38" t="s">
        <v>2037</v>
      </c>
      <c r="T1707" s="6">
        <v>0</v>
      </c>
    </row>
    <row r="1708" spans="1:20" s="14" customFormat="1" ht="51">
      <c r="A1708" s="2"/>
      <c r="B1708" s="6">
        <v>1692</v>
      </c>
      <c r="C1708" s="36" t="s">
        <v>714</v>
      </c>
      <c r="D1708" s="43" t="s">
        <v>601</v>
      </c>
      <c r="E1708" s="38" t="s">
        <v>496</v>
      </c>
      <c r="F1708" s="70" t="s">
        <v>2083</v>
      </c>
      <c r="G1708" s="70" t="s">
        <v>111</v>
      </c>
      <c r="H1708" s="70" t="s">
        <v>2083</v>
      </c>
      <c r="I1708" s="70" t="s">
        <v>111</v>
      </c>
      <c r="J1708" s="70" t="s">
        <v>2082</v>
      </c>
      <c r="K1708" s="70" t="s">
        <v>112</v>
      </c>
      <c r="L1708" s="70" t="s">
        <v>595</v>
      </c>
      <c r="M1708" s="12" t="s">
        <v>918</v>
      </c>
      <c r="N1708" s="26">
        <v>1</v>
      </c>
      <c r="O1708" s="57">
        <v>417339</v>
      </c>
      <c r="P1708" s="62">
        <f t="shared" si="41"/>
        <v>417339</v>
      </c>
      <c r="Q1708" s="6" t="s">
        <v>397</v>
      </c>
      <c r="R1708" s="6" t="s">
        <v>770</v>
      </c>
      <c r="S1708" s="38" t="s">
        <v>2038</v>
      </c>
      <c r="T1708" s="26">
        <v>0</v>
      </c>
    </row>
    <row r="1709" spans="1:20" s="14" customFormat="1" ht="51">
      <c r="A1709" s="2"/>
      <c r="B1709" s="6">
        <v>1693</v>
      </c>
      <c r="C1709" s="16" t="s">
        <v>714</v>
      </c>
      <c r="D1709" s="38" t="s">
        <v>601</v>
      </c>
      <c r="E1709" s="38" t="s">
        <v>496</v>
      </c>
      <c r="F1709" s="70" t="s">
        <v>2083</v>
      </c>
      <c r="G1709" s="70" t="s">
        <v>111</v>
      </c>
      <c r="H1709" s="70" t="s">
        <v>2083</v>
      </c>
      <c r="I1709" s="70" t="s">
        <v>111</v>
      </c>
      <c r="J1709" s="70" t="s">
        <v>2082</v>
      </c>
      <c r="K1709" s="70" t="s">
        <v>112</v>
      </c>
      <c r="L1709" s="70" t="s">
        <v>595</v>
      </c>
      <c r="M1709" s="12" t="s">
        <v>918</v>
      </c>
      <c r="N1709" s="26">
        <v>1</v>
      </c>
      <c r="O1709" s="57">
        <v>160714</v>
      </c>
      <c r="P1709" s="62">
        <f t="shared" si="41"/>
        <v>160714</v>
      </c>
      <c r="Q1709" s="6" t="s">
        <v>397</v>
      </c>
      <c r="R1709" s="6" t="s">
        <v>770</v>
      </c>
      <c r="S1709" s="38" t="s">
        <v>1025</v>
      </c>
      <c r="T1709" s="6">
        <v>0</v>
      </c>
    </row>
    <row r="1710" spans="1:20" s="14" customFormat="1" ht="51">
      <c r="A1710" s="2"/>
      <c r="B1710" s="6">
        <v>1694</v>
      </c>
      <c r="C1710" s="16" t="s">
        <v>714</v>
      </c>
      <c r="D1710" s="38" t="s">
        <v>601</v>
      </c>
      <c r="E1710" s="38" t="s">
        <v>496</v>
      </c>
      <c r="F1710" s="70" t="s">
        <v>2083</v>
      </c>
      <c r="G1710" s="70" t="s">
        <v>111</v>
      </c>
      <c r="H1710" s="70" t="s">
        <v>2083</v>
      </c>
      <c r="I1710" s="70" t="s">
        <v>111</v>
      </c>
      <c r="J1710" s="70" t="s">
        <v>2082</v>
      </c>
      <c r="K1710" s="70" t="s">
        <v>112</v>
      </c>
      <c r="L1710" s="70" t="s">
        <v>595</v>
      </c>
      <c r="M1710" s="12" t="s">
        <v>918</v>
      </c>
      <c r="N1710" s="26">
        <v>1</v>
      </c>
      <c r="O1710" s="57">
        <f>P1710/N1710</f>
        <v>134000</v>
      </c>
      <c r="P1710" s="62">
        <f>75713+58287</f>
        <v>134000</v>
      </c>
      <c r="Q1710" s="6" t="s">
        <v>397</v>
      </c>
      <c r="R1710" s="6" t="s">
        <v>770</v>
      </c>
      <c r="S1710" s="38" t="s">
        <v>793</v>
      </c>
      <c r="T1710" s="6">
        <v>0</v>
      </c>
    </row>
    <row r="1711" spans="1:20" ht="51">
      <c r="B1711" s="6">
        <v>1695</v>
      </c>
      <c r="C1711" s="16" t="s">
        <v>714</v>
      </c>
      <c r="D1711" s="38" t="s">
        <v>601</v>
      </c>
      <c r="E1711" s="38" t="s">
        <v>496</v>
      </c>
      <c r="F1711" s="70" t="s">
        <v>2083</v>
      </c>
      <c r="G1711" s="70" t="s">
        <v>111</v>
      </c>
      <c r="H1711" s="70" t="s">
        <v>2083</v>
      </c>
      <c r="I1711" s="70" t="s">
        <v>111</v>
      </c>
      <c r="J1711" s="70" t="s">
        <v>2082</v>
      </c>
      <c r="K1711" s="70" t="s">
        <v>112</v>
      </c>
      <c r="L1711" s="70" t="s">
        <v>595</v>
      </c>
      <c r="M1711" s="12" t="s">
        <v>918</v>
      </c>
      <c r="N1711" s="26">
        <v>1</v>
      </c>
      <c r="O1711" s="57">
        <v>107143</v>
      </c>
      <c r="P1711" s="62">
        <f t="shared" si="41"/>
        <v>107143</v>
      </c>
      <c r="Q1711" s="6" t="s">
        <v>397</v>
      </c>
      <c r="R1711" s="6" t="s">
        <v>770</v>
      </c>
      <c r="S1711" s="38" t="s">
        <v>637</v>
      </c>
      <c r="T1711" s="26">
        <v>0</v>
      </c>
    </row>
    <row r="1712" spans="1:20" s="42" customFormat="1" ht="51">
      <c r="A1712" s="41"/>
      <c r="B1712" s="6">
        <v>1696</v>
      </c>
      <c r="C1712" s="16" t="s">
        <v>714</v>
      </c>
      <c r="D1712" s="38" t="s">
        <v>601</v>
      </c>
      <c r="E1712" s="38" t="s">
        <v>496</v>
      </c>
      <c r="F1712" s="70" t="s">
        <v>2083</v>
      </c>
      <c r="G1712" s="70" t="s">
        <v>111</v>
      </c>
      <c r="H1712" s="70" t="s">
        <v>2083</v>
      </c>
      <c r="I1712" s="70" t="s">
        <v>111</v>
      </c>
      <c r="J1712" s="70" t="s">
        <v>2082</v>
      </c>
      <c r="K1712" s="70" t="s">
        <v>112</v>
      </c>
      <c r="L1712" s="70" t="s">
        <v>595</v>
      </c>
      <c r="M1712" s="12" t="s">
        <v>918</v>
      </c>
      <c r="N1712" s="26">
        <v>1</v>
      </c>
      <c r="O1712" s="57">
        <f>P1712</f>
        <v>0</v>
      </c>
      <c r="P1712" s="62">
        <f>130357-130357</f>
        <v>0</v>
      </c>
      <c r="Q1712" s="6" t="s">
        <v>519</v>
      </c>
      <c r="R1712" s="6" t="s">
        <v>770</v>
      </c>
      <c r="S1712" s="38">
        <v>311000000</v>
      </c>
      <c r="T1712" s="26">
        <v>0</v>
      </c>
    </row>
    <row r="1713" spans="1:20" s="45" customFormat="1" ht="51">
      <c r="A1713" s="44"/>
      <c r="B1713" s="6">
        <v>1697</v>
      </c>
      <c r="C1713" s="16" t="s">
        <v>714</v>
      </c>
      <c r="D1713" s="38" t="s">
        <v>601</v>
      </c>
      <c r="E1713" s="38" t="s">
        <v>496</v>
      </c>
      <c r="F1713" s="70" t="s">
        <v>2083</v>
      </c>
      <c r="G1713" s="70" t="s">
        <v>111</v>
      </c>
      <c r="H1713" s="70" t="s">
        <v>2083</v>
      </c>
      <c r="I1713" s="70" t="s">
        <v>111</v>
      </c>
      <c r="J1713" s="70" t="s">
        <v>2082</v>
      </c>
      <c r="K1713" s="70" t="s">
        <v>112</v>
      </c>
      <c r="L1713" s="70" t="s">
        <v>595</v>
      </c>
      <c r="M1713" s="12" t="s">
        <v>918</v>
      </c>
      <c r="N1713" s="26">
        <v>1</v>
      </c>
      <c r="O1713" s="57">
        <v>192857</v>
      </c>
      <c r="P1713" s="62">
        <f t="shared" si="41"/>
        <v>192857</v>
      </c>
      <c r="Q1713" s="6" t="s">
        <v>397</v>
      </c>
      <c r="R1713" s="6" t="s">
        <v>770</v>
      </c>
      <c r="S1713" s="38" t="s">
        <v>2032</v>
      </c>
      <c r="T1713" s="26">
        <v>0</v>
      </c>
    </row>
    <row r="1714" spans="1:20" s="14" customFormat="1" ht="51">
      <c r="A1714" s="2"/>
      <c r="B1714" s="6">
        <v>1698</v>
      </c>
      <c r="C1714" s="16" t="s">
        <v>714</v>
      </c>
      <c r="D1714" s="38" t="s">
        <v>601</v>
      </c>
      <c r="E1714" s="38" t="s">
        <v>496</v>
      </c>
      <c r="F1714" s="70" t="s">
        <v>2083</v>
      </c>
      <c r="G1714" s="70" t="s">
        <v>111</v>
      </c>
      <c r="H1714" s="70" t="s">
        <v>2083</v>
      </c>
      <c r="I1714" s="70" t="s">
        <v>111</v>
      </c>
      <c r="J1714" s="70" t="s">
        <v>2082</v>
      </c>
      <c r="K1714" s="70" t="s">
        <v>112</v>
      </c>
      <c r="L1714" s="70" t="s">
        <v>595</v>
      </c>
      <c r="M1714" s="12" t="s">
        <v>918</v>
      </c>
      <c r="N1714" s="26">
        <v>1</v>
      </c>
      <c r="O1714" s="57">
        <v>241071</v>
      </c>
      <c r="P1714" s="62">
        <f t="shared" si="41"/>
        <v>241071</v>
      </c>
      <c r="Q1714" s="6" t="s">
        <v>397</v>
      </c>
      <c r="R1714" s="6" t="s">
        <v>770</v>
      </c>
      <c r="S1714" s="38">
        <v>351000000</v>
      </c>
      <c r="T1714" s="26">
        <v>0</v>
      </c>
    </row>
    <row r="1715" spans="1:20" ht="51">
      <c r="B1715" s="6">
        <v>1699</v>
      </c>
      <c r="C1715" s="16" t="s">
        <v>714</v>
      </c>
      <c r="D1715" s="38" t="s">
        <v>601</v>
      </c>
      <c r="E1715" s="38" t="s">
        <v>496</v>
      </c>
      <c r="F1715" s="70" t="s">
        <v>2083</v>
      </c>
      <c r="G1715" s="70" t="s">
        <v>111</v>
      </c>
      <c r="H1715" s="70" t="s">
        <v>2083</v>
      </c>
      <c r="I1715" s="70" t="s">
        <v>111</v>
      </c>
      <c r="J1715" s="70" t="s">
        <v>2082</v>
      </c>
      <c r="K1715" s="70" t="s">
        <v>112</v>
      </c>
      <c r="L1715" s="70" t="s">
        <v>595</v>
      </c>
      <c r="M1715" s="12" t="s">
        <v>918</v>
      </c>
      <c r="N1715" s="26">
        <v>1</v>
      </c>
      <c r="O1715" s="57">
        <v>300000</v>
      </c>
      <c r="P1715" s="62">
        <f t="shared" si="41"/>
        <v>300000</v>
      </c>
      <c r="Q1715" s="6" t="s">
        <v>397</v>
      </c>
      <c r="R1715" s="6" t="s">
        <v>770</v>
      </c>
      <c r="S1715" s="38" t="s">
        <v>929</v>
      </c>
      <c r="T1715" s="26">
        <v>0</v>
      </c>
    </row>
    <row r="1716" spans="1:20" ht="51">
      <c r="B1716" s="6">
        <v>1700</v>
      </c>
      <c r="C1716" s="36" t="s">
        <v>714</v>
      </c>
      <c r="D1716" s="43" t="s">
        <v>601</v>
      </c>
      <c r="E1716" s="38" t="s">
        <v>496</v>
      </c>
      <c r="F1716" s="70" t="s">
        <v>2083</v>
      </c>
      <c r="G1716" s="70" t="s">
        <v>111</v>
      </c>
      <c r="H1716" s="70" t="s">
        <v>2083</v>
      </c>
      <c r="I1716" s="70" t="s">
        <v>111</v>
      </c>
      <c r="J1716" s="70" t="s">
        <v>2082</v>
      </c>
      <c r="K1716" s="70" t="s">
        <v>112</v>
      </c>
      <c r="L1716" s="70" t="s">
        <v>595</v>
      </c>
      <c r="M1716" s="12" t="s">
        <v>918</v>
      </c>
      <c r="N1716" s="26">
        <v>1</v>
      </c>
      <c r="O1716" s="57">
        <v>97768</v>
      </c>
      <c r="P1716" s="62">
        <f t="shared" si="41"/>
        <v>97768</v>
      </c>
      <c r="Q1716" s="6" t="s">
        <v>397</v>
      </c>
      <c r="R1716" s="6" t="s">
        <v>770</v>
      </c>
      <c r="S1716" s="38" t="s">
        <v>719</v>
      </c>
      <c r="T1716" s="26">
        <v>100</v>
      </c>
    </row>
    <row r="1717" spans="1:20" s="39" customFormat="1" ht="54" customHeight="1">
      <c r="B1717" s="6">
        <v>1701</v>
      </c>
      <c r="C1717" s="16" t="s">
        <v>714</v>
      </c>
      <c r="D1717" s="38" t="s">
        <v>601</v>
      </c>
      <c r="E1717" s="38" t="s">
        <v>496</v>
      </c>
      <c r="F1717" s="70" t="s">
        <v>2083</v>
      </c>
      <c r="G1717" s="70" t="s">
        <v>111</v>
      </c>
      <c r="H1717" s="70" t="s">
        <v>2083</v>
      </c>
      <c r="I1717" s="70" t="s">
        <v>111</v>
      </c>
      <c r="J1717" s="70" t="s">
        <v>2082</v>
      </c>
      <c r="K1717" s="70" t="s">
        <v>112</v>
      </c>
      <c r="L1717" s="70" t="s">
        <v>595</v>
      </c>
      <c r="M1717" s="12" t="s">
        <v>918</v>
      </c>
      <c r="N1717" s="26">
        <v>1</v>
      </c>
      <c r="O1717" s="57">
        <v>257143</v>
      </c>
      <c r="P1717" s="62">
        <f t="shared" si="41"/>
        <v>257143</v>
      </c>
      <c r="Q1717" s="6" t="s">
        <v>397</v>
      </c>
      <c r="R1717" s="6" t="s">
        <v>770</v>
      </c>
      <c r="S1717" s="38">
        <v>551000000</v>
      </c>
      <c r="T1717" s="26">
        <v>0</v>
      </c>
    </row>
    <row r="1718" spans="1:20" s="14" customFormat="1" ht="51">
      <c r="A1718" s="2"/>
      <c r="B1718" s="6">
        <v>1702</v>
      </c>
      <c r="C1718" s="16" t="s">
        <v>945</v>
      </c>
      <c r="D1718" s="6" t="s">
        <v>601</v>
      </c>
      <c r="E1718" s="38" t="s">
        <v>496</v>
      </c>
      <c r="F1718" s="70" t="s">
        <v>2083</v>
      </c>
      <c r="G1718" s="70" t="s">
        <v>111</v>
      </c>
      <c r="H1718" s="70" t="s">
        <v>2083</v>
      </c>
      <c r="I1718" s="70" t="s">
        <v>111</v>
      </c>
      <c r="J1718" s="70" t="s">
        <v>2082</v>
      </c>
      <c r="K1718" s="70" t="s">
        <v>112</v>
      </c>
      <c r="L1718" s="70" t="s">
        <v>595</v>
      </c>
      <c r="M1718" s="12" t="s">
        <v>918</v>
      </c>
      <c r="N1718" s="26">
        <v>1</v>
      </c>
      <c r="O1718" s="57">
        <v>257143</v>
      </c>
      <c r="P1718" s="62">
        <f t="shared" si="41"/>
        <v>257143</v>
      </c>
      <c r="Q1718" s="6" t="s">
        <v>397</v>
      </c>
      <c r="R1718" s="6" t="s">
        <v>770</v>
      </c>
      <c r="S1718" s="38">
        <v>591000000</v>
      </c>
      <c r="T1718" s="26">
        <v>0</v>
      </c>
    </row>
    <row r="1719" spans="1:20" s="1" customFormat="1" ht="76.5">
      <c r="A1719" s="3"/>
      <c r="B1719" s="6">
        <v>1703</v>
      </c>
      <c r="C1719" s="69" t="s">
        <v>714</v>
      </c>
      <c r="D1719" s="5" t="s">
        <v>601</v>
      </c>
      <c r="E1719" s="38" t="s">
        <v>511</v>
      </c>
      <c r="F1719" s="70" t="s">
        <v>1953</v>
      </c>
      <c r="G1719" s="70" t="s">
        <v>513</v>
      </c>
      <c r="H1719" s="70" t="s">
        <v>2009</v>
      </c>
      <c r="I1719" s="70" t="s">
        <v>514</v>
      </c>
      <c r="J1719" s="70" t="s">
        <v>2026</v>
      </c>
      <c r="K1719" s="70" t="s">
        <v>332</v>
      </c>
      <c r="L1719" s="70" t="s">
        <v>595</v>
      </c>
      <c r="M1719" s="12" t="s">
        <v>918</v>
      </c>
      <c r="N1719" s="66">
        <v>1</v>
      </c>
      <c r="O1719" s="57">
        <v>799464</v>
      </c>
      <c r="P1719" s="62">
        <f t="shared" si="41"/>
        <v>799464</v>
      </c>
      <c r="Q1719" s="6" t="s">
        <v>397</v>
      </c>
      <c r="R1719" s="6" t="s">
        <v>1495</v>
      </c>
      <c r="S1719" s="38" t="s">
        <v>1179</v>
      </c>
      <c r="T1719" s="7">
        <v>0</v>
      </c>
    </row>
    <row r="1720" spans="1:20" s="14" customFormat="1" ht="76.5">
      <c r="A1720" s="17"/>
      <c r="B1720" s="6">
        <v>1704</v>
      </c>
      <c r="C1720" s="16" t="s">
        <v>714</v>
      </c>
      <c r="D1720" s="38" t="s">
        <v>601</v>
      </c>
      <c r="E1720" s="38" t="s">
        <v>602</v>
      </c>
      <c r="F1720" s="70" t="s">
        <v>603</v>
      </c>
      <c r="G1720" s="70" t="s">
        <v>604</v>
      </c>
      <c r="H1720" s="70" t="s">
        <v>1024</v>
      </c>
      <c r="I1720" s="70" t="s">
        <v>606</v>
      </c>
      <c r="J1720" s="70" t="s">
        <v>909</v>
      </c>
      <c r="K1720" s="70" t="s">
        <v>322</v>
      </c>
      <c r="L1720" s="70" t="s">
        <v>595</v>
      </c>
      <c r="M1720" s="12" t="s">
        <v>918</v>
      </c>
      <c r="N1720" s="26">
        <v>1</v>
      </c>
      <c r="O1720" s="57">
        <f>P1720/N1720</f>
        <v>1908000</v>
      </c>
      <c r="P1720" s="62">
        <f>1749000+159000</f>
        <v>1908000</v>
      </c>
      <c r="Q1720" s="6" t="s">
        <v>397</v>
      </c>
      <c r="R1720" s="6" t="s">
        <v>770</v>
      </c>
      <c r="S1720" s="38">
        <v>233620100</v>
      </c>
      <c r="T1720" s="26">
        <v>0</v>
      </c>
    </row>
    <row r="1721" spans="1:20" s="14" customFormat="1" ht="76.5">
      <c r="A1721" s="17"/>
      <c r="B1721" s="6">
        <v>1705</v>
      </c>
      <c r="C1721" s="16" t="s">
        <v>714</v>
      </c>
      <c r="D1721" s="38" t="s">
        <v>601</v>
      </c>
      <c r="E1721" s="38" t="s">
        <v>602</v>
      </c>
      <c r="F1721" s="70" t="s">
        <v>603</v>
      </c>
      <c r="G1721" s="70" t="s">
        <v>604</v>
      </c>
      <c r="H1721" s="70" t="s">
        <v>1024</v>
      </c>
      <c r="I1721" s="70" t="s">
        <v>606</v>
      </c>
      <c r="J1721" s="70" t="s">
        <v>2581</v>
      </c>
      <c r="K1721" s="70" t="s">
        <v>2580</v>
      </c>
      <c r="L1721" s="70" t="s">
        <v>595</v>
      </c>
      <c r="M1721" s="12" t="s">
        <v>918</v>
      </c>
      <c r="N1721" s="26">
        <v>1</v>
      </c>
      <c r="O1721" s="57">
        <f>P1721/N1721</f>
        <v>1908000</v>
      </c>
      <c r="P1721" s="62">
        <f>1749000+159000</f>
        <v>1908000</v>
      </c>
      <c r="Q1721" s="6" t="s">
        <v>397</v>
      </c>
      <c r="R1721" s="6" t="s">
        <v>770</v>
      </c>
      <c r="S1721" s="38">
        <v>233620100</v>
      </c>
      <c r="T1721" s="26">
        <v>0</v>
      </c>
    </row>
    <row r="1722" spans="1:20" ht="76.5">
      <c r="B1722" s="6">
        <v>1706</v>
      </c>
      <c r="C1722" s="16" t="s">
        <v>714</v>
      </c>
      <c r="D1722" s="38" t="s">
        <v>601</v>
      </c>
      <c r="E1722" s="38" t="s">
        <v>602</v>
      </c>
      <c r="F1722" s="70" t="s">
        <v>603</v>
      </c>
      <c r="G1722" s="70" t="s">
        <v>604</v>
      </c>
      <c r="H1722" s="70" t="s">
        <v>1024</v>
      </c>
      <c r="I1722" s="70" t="s">
        <v>606</v>
      </c>
      <c r="J1722" s="70" t="s">
        <v>909</v>
      </c>
      <c r="K1722" s="6" t="s">
        <v>322</v>
      </c>
      <c r="L1722" s="70" t="s">
        <v>595</v>
      </c>
      <c r="M1722" s="12" t="s">
        <v>918</v>
      </c>
      <c r="N1722" s="26">
        <v>1</v>
      </c>
      <c r="O1722" s="57">
        <f>P1722/N1722</f>
        <v>1484526</v>
      </c>
      <c r="P1722" s="62">
        <f>1749000-264474</f>
        <v>1484526</v>
      </c>
      <c r="Q1722" s="6" t="s">
        <v>397</v>
      </c>
      <c r="R1722" s="6" t="s">
        <v>770</v>
      </c>
      <c r="S1722" s="12">
        <v>632010000</v>
      </c>
      <c r="T1722" s="26">
        <v>0</v>
      </c>
    </row>
    <row r="1723" spans="1:20" ht="76.5">
      <c r="B1723" s="6">
        <v>1707</v>
      </c>
      <c r="C1723" s="16" t="s">
        <v>714</v>
      </c>
      <c r="D1723" s="38" t="s">
        <v>601</v>
      </c>
      <c r="E1723" s="38" t="s">
        <v>602</v>
      </c>
      <c r="F1723" s="70" t="s">
        <v>603</v>
      </c>
      <c r="G1723" s="70" t="s">
        <v>604</v>
      </c>
      <c r="H1723" s="70" t="s">
        <v>1024</v>
      </c>
      <c r="I1723" s="70" t="s">
        <v>606</v>
      </c>
      <c r="J1723" s="70" t="s">
        <v>2581</v>
      </c>
      <c r="K1723" s="6" t="s">
        <v>2580</v>
      </c>
      <c r="L1723" s="70" t="s">
        <v>595</v>
      </c>
      <c r="M1723" s="12" t="s">
        <v>918</v>
      </c>
      <c r="N1723" s="26">
        <v>1</v>
      </c>
      <c r="O1723" s="57">
        <f t="shared" ref="O1723:O1773" si="42">P1723/N1723</f>
        <v>1492895</v>
      </c>
      <c r="P1723" s="62">
        <f>1749000-256105</f>
        <v>1492895</v>
      </c>
      <c r="Q1723" s="6" t="s">
        <v>397</v>
      </c>
      <c r="R1723" s="6" t="s">
        <v>770</v>
      </c>
      <c r="S1723" s="12">
        <v>632010000</v>
      </c>
      <c r="T1723" s="26">
        <v>0</v>
      </c>
    </row>
    <row r="1724" spans="1:20" ht="76.5">
      <c r="B1724" s="6">
        <v>1708</v>
      </c>
      <c r="C1724" s="16" t="s">
        <v>714</v>
      </c>
      <c r="D1724" s="38" t="s">
        <v>601</v>
      </c>
      <c r="E1724" s="38" t="s">
        <v>602</v>
      </c>
      <c r="F1724" s="70" t="s">
        <v>603</v>
      </c>
      <c r="G1724" s="70" t="s">
        <v>604</v>
      </c>
      <c r="H1724" s="70" t="s">
        <v>1024</v>
      </c>
      <c r="I1724" s="70" t="s">
        <v>606</v>
      </c>
      <c r="J1724" s="70" t="s">
        <v>909</v>
      </c>
      <c r="K1724" s="6" t="s">
        <v>322</v>
      </c>
      <c r="L1724" s="70" t="s">
        <v>595</v>
      </c>
      <c r="M1724" s="12" t="s">
        <v>918</v>
      </c>
      <c r="N1724" s="26">
        <v>1</v>
      </c>
      <c r="O1724" s="57">
        <f t="shared" si="42"/>
        <v>1476158</v>
      </c>
      <c r="P1724" s="62">
        <f>1749000-272842</f>
        <v>1476158</v>
      </c>
      <c r="Q1724" s="6" t="s">
        <v>397</v>
      </c>
      <c r="R1724" s="6" t="s">
        <v>770</v>
      </c>
      <c r="S1724" s="12">
        <v>634821100</v>
      </c>
      <c r="T1724" s="26">
        <v>0</v>
      </c>
    </row>
    <row r="1725" spans="1:20" ht="76.5">
      <c r="B1725" s="6">
        <v>1709</v>
      </c>
      <c r="C1725" s="16" t="s">
        <v>714</v>
      </c>
      <c r="D1725" s="38" t="s">
        <v>601</v>
      </c>
      <c r="E1725" s="38" t="s">
        <v>602</v>
      </c>
      <c r="F1725" s="70" t="s">
        <v>603</v>
      </c>
      <c r="G1725" s="70" t="s">
        <v>604</v>
      </c>
      <c r="H1725" s="70" t="s">
        <v>1024</v>
      </c>
      <c r="I1725" s="70" t="s">
        <v>606</v>
      </c>
      <c r="J1725" s="70" t="s">
        <v>2581</v>
      </c>
      <c r="K1725" s="6" t="s">
        <v>2580</v>
      </c>
      <c r="L1725" s="70" t="s">
        <v>595</v>
      </c>
      <c r="M1725" s="12" t="s">
        <v>918</v>
      </c>
      <c r="N1725" s="26">
        <v>1</v>
      </c>
      <c r="O1725" s="57">
        <f t="shared" si="42"/>
        <v>1476158</v>
      </c>
      <c r="P1725" s="62">
        <f>1749000-272842</f>
        <v>1476158</v>
      </c>
      <c r="Q1725" s="6" t="s">
        <v>397</v>
      </c>
      <c r="R1725" s="6" t="s">
        <v>770</v>
      </c>
      <c r="S1725" s="12">
        <v>634821100</v>
      </c>
      <c r="T1725" s="26">
        <v>0</v>
      </c>
    </row>
    <row r="1726" spans="1:20" s="42" customFormat="1" ht="76.5">
      <c r="A1726" s="41"/>
      <c r="B1726" s="6">
        <v>1710</v>
      </c>
      <c r="C1726" s="16" t="s">
        <v>714</v>
      </c>
      <c r="D1726" s="38" t="s">
        <v>601</v>
      </c>
      <c r="E1726" s="38" t="s">
        <v>602</v>
      </c>
      <c r="F1726" s="70" t="s">
        <v>603</v>
      </c>
      <c r="G1726" s="70" t="s">
        <v>604</v>
      </c>
      <c r="H1726" s="70" t="s">
        <v>1024</v>
      </c>
      <c r="I1726" s="70" t="s">
        <v>606</v>
      </c>
      <c r="J1726" s="70" t="s">
        <v>909</v>
      </c>
      <c r="K1726" s="6" t="s">
        <v>322</v>
      </c>
      <c r="L1726" s="70" t="s">
        <v>595</v>
      </c>
      <c r="M1726" s="12" t="s">
        <v>918</v>
      </c>
      <c r="N1726" s="26">
        <v>1</v>
      </c>
      <c r="O1726" s="57">
        <f t="shared" si="42"/>
        <v>1518000</v>
      </c>
      <c r="P1726" s="62">
        <f>1749000-231000</f>
        <v>1518000</v>
      </c>
      <c r="Q1726" s="6" t="s">
        <v>397</v>
      </c>
      <c r="R1726" s="6" t="s">
        <v>770</v>
      </c>
      <c r="S1726" s="12">
        <v>316220100</v>
      </c>
      <c r="T1726" s="26">
        <v>0</v>
      </c>
    </row>
    <row r="1727" spans="1:20" s="42" customFormat="1" ht="76.5">
      <c r="A1727" s="41"/>
      <c r="B1727" s="6">
        <v>1711</v>
      </c>
      <c r="C1727" s="16" t="s">
        <v>714</v>
      </c>
      <c r="D1727" s="38" t="s">
        <v>601</v>
      </c>
      <c r="E1727" s="38" t="s">
        <v>602</v>
      </c>
      <c r="F1727" s="70" t="s">
        <v>603</v>
      </c>
      <c r="G1727" s="70" t="s">
        <v>604</v>
      </c>
      <c r="H1727" s="70" t="s">
        <v>1024</v>
      </c>
      <c r="I1727" s="70" t="s">
        <v>606</v>
      </c>
      <c r="J1727" s="70" t="s">
        <v>2581</v>
      </c>
      <c r="K1727" s="6" t="s">
        <v>2580</v>
      </c>
      <c r="L1727" s="70" t="s">
        <v>595</v>
      </c>
      <c r="M1727" s="12" t="s">
        <v>918</v>
      </c>
      <c r="N1727" s="26">
        <v>1</v>
      </c>
      <c r="O1727" s="57">
        <f t="shared" si="42"/>
        <v>1518000</v>
      </c>
      <c r="P1727" s="62">
        <f t="shared" ref="P1727:P1729" si="43">1749000-231000</f>
        <v>1518000</v>
      </c>
      <c r="Q1727" s="6" t="s">
        <v>397</v>
      </c>
      <c r="R1727" s="6" t="s">
        <v>770</v>
      </c>
      <c r="S1727" s="12">
        <v>316220100</v>
      </c>
      <c r="T1727" s="26">
        <v>0</v>
      </c>
    </row>
    <row r="1728" spans="1:20" s="42" customFormat="1" ht="76.5">
      <c r="A1728" s="41"/>
      <c r="B1728" s="6">
        <v>1712</v>
      </c>
      <c r="C1728" s="16" t="s">
        <v>714</v>
      </c>
      <c r="D1728" s="38" t="s">
        <v>601</v>
      </c>
      <c r="E1728" s="38" t="s">
        <v>602</v>
      </c>
      <c r="F1728" s="70" t="s">
        <v>603</v>
      </c>
      <c r="G1728" s="70" t="s">
        <v>604</v>
      </c>
      <c r="H1728" s="70" t="s">
        <v>1024</v>
      </c>
      <c r="I1728" s="70" t="s">
        <v>606</v>
      </c>
      <c r="J1728" s="70" t="s">
        <v>909</v>
      </c>
      <c r="K1728" s="6" t="s">
        <v>322</v>
      </c>
      <c r="L1728" s="70" t="s">
        <v>595</v>
      </c>
      <c r="M1728" s="12" t="s">
        <v>918</v>
      </c>
      <c r="N1728" s="26">
        <v>1</v>
      </c>
      <c r="O1728" s="57">
        <f t="shared" si="42"/>
        <v>1518000</v>
      </c>
      <c r="P1728" s="62">
        <f t="shared" si="43"/>
        <v>1518000</v>
      </c>
      <c r="Q1728" s="6" t="s">
        <v>397</v>
      </c>
      <c r="R1728" s="6" t="s">
        <v>770</v>
      </c>
      <c r="S1728" s="12">
        <v>316020100</v>
      </c>
      <c r="T1728" s="26">
        <v>0</v>
      </c>
    </row>
    <row r="1729" spans="1:20" s="42" customFormat="1" ht="76.5">
      <c r="A1729" s="41"/>
      <c r="B1729" s="6">
        <v>1713</v>
      </c>
      <c r="C1729" s="16" t="s">
        <v>714</v>
      </c>
      <c r="D1729" s="38" t="s">
        <v>601</v>
      </c>
      <c r="E1729" s="38" t="s">
        <v>602</v>
      </c>
      <c r="F1729" s="70" t="s">
        <v>603</v>
      </c>
      <c r="G1729" s="70" t="s">
        <v>604</v>
      </c>
      <c r="H1729" s="70" t="s">
        <v>1024</v>
      </c>
      <c r="I1729" s="70" t="s">
        <v>606</v>
      </c>
      <c r="J1729" s="70" t="s">
        <v>2581</v>
      </c>
      <c r="K1729" s="6" t="s">
        <v>2580</v>
      </c>
      <c r="L1729" s="70" t="s">
        <v>595</v>
      </c>
      <c r="M1729" s="12" t="s">
        <v>918</v>
      </c>
      <c r="N1729" s="26">
        <v>1</v>
      </c>
      <c r="O1729" s="57">
        <f t="shared" si="42"/>
        <v>1518000</v>
      </c>
      <c r="P1729" s="62">
        <f t="shared" si="43"/>
        <v>1518000</v>
      </c>
      <c r="Q1729" s="6" t="s">
        <v>397</v>
      </c>
      <c r="R1729" s="6" t="s">
        <v>770</v>
      </c>
      <c r="S1729" s="12">
        <v>316020100</v>
      </c>
      <c r="T1729" s="26">
        <v>0</v>
      </c>
    </row>
    <row r="1730" spans="1:20" s="14" customFormat="1" ht="76.5">
      <c r="A1730" s="2"/>
      <c r="B1730" s="6">
        <v>1714</v>
      </c>
      <c r="C1730" s="16" t="s">
        <v>714</v>
      </c>
      <c r="D1730" s="38" t="s">
        <v>601</v>
      </c>
      <c r="E1730" s="38" t="s">
        <v>602</v>
      </c>
      <c r="F1730" s="70" t="s">
        <v>603</v>
      </c>
      <c r="G1730" s="70" t="s">
        <v>604</v>
      </c>
      <c r="H1730" s="70" t="s">
        <v>1024</v>
      </c>
      <c r="I1730" s="70" t="s">
        <v>606</v>
      </c>
      <c r="J1730" s="70" t="s">
        <v>909</v>
      </c>
      <c r="K1730" s="6" t="s">
        <v>322</v>
      </c>
      <c r="L1730" s="70" t="s">
        <v>595</v>
      </c>
      <c r="M1730" s="12" t="s">
        <v>918</v>
      </c>
      <c r="N1730" s="26">
        <v>1</v>
      </c>
      <c r="O1730" s="57">
        <f t="shared" si="42"/>
        <v>1832158</v>
      </c>
      <c r="P1730" s="62">
        <f>1749000+83158</f>
        <v>1832158</v>
      </c>
      <c r="Q1730" s="6" t="s">
        <v>397</v>
      </c>
      <c r="R1730" s="6" t="s">
        <v>770</v>
      </c>
      <c r="S1730" s="12">
        <v>351610000</v>
      </c>
      <c r="T1730" s="26">
        <v>0</v>
      </c>
    </row>
    <row r="1731" spans="1:20" s="14" customFormat="1" ht="76.5">
      <c r="A1731" s="2"/>
      <c r="B1731" s="6">
        <v>1715</v>
      </c>
      <c r="C1731" s="16" t="s">
        <v>714</v>
      </c>
      <c r="D1731" s="38" t="s">
        <v>601</v>
      </c>
      <c r="E1731" s="38" t="s">
        <v>602</v>
      </c>
      <c r="F1731" s="70" t="s">
        <v>603</v>
      </c>
      <c r="G1731" s="70" t="s">
        <v>604</v>
      </c>
      <c r="H1731" s="70" t="s">
        <v>1024</v>
      </c>
      <c r="I1731" s="70" t="s">
        <v>606</v>
      </c>
      <c r="J1731" s="70" t="s">
        <v>2581</v>
      </c>
      <c r="K1731" s="6" t="s">
        <v>2580</v>
      </c>
      <c r="L1731" s="70" t="s">
        <v>595</v>
      </c>
      <c r="M1731" s="12" t="s">
        <v>918</v>
      </c>
      <c r="N1731" s="26">
        <v>1</v>
      </c>
      <c r="O1731" s="57">
        <f t="shared" si="42"/>
        <v>1832158</v>
      </c>
      <c r="P1731" s="62">
        <f>1749000+83158</f>
        <v>1832158</v>
      </c>
      <c r="Q1731" s="6" t="s">
        <v>397</v>
      </c>
      <c r="R1731" s="6" t="s">
        <v>770</v>
      </c>
      <c r="S1731" s="12">
        <v>351610000</v>
      </c>
      <c r="T1731" s="26">
        <v>0</v>
      </c>
    </row>
    <row r="1732" spans="1:20" s="14" customFormat="1" ht="76.5">
      <c r="A1732" s="2"/>
      <c r="B1732" s="6">
        <v>1716</v>
      </c>
      <c r="C1732" s="16" t="s">
        <v>714</v>
      </c>
      <c r="D1732" s="38" t="s">
        <v>601</v>
      </c>
      <c r="E1732" s="38" t="s">
        <v>602</v>
      </c>
      <c r="F1732" s="70" t="s">
        <v>603</v>
      </c>
      <c r="G1732" s="70" t="s">
        <v>604</v>
      </c>
      <c r="H1732" s="70" t="s">
        <v>1024</v>
      </c>
      <c r="I1732" s="70" t="s">
        <v>606</v>
      </c>
      <c r="J1732" s="70" t="s">
        <v>909</v>
      </c>
      <c r="K1732" s="6" t="s">
        <v>322</v>
      </c>
      <c r="L1732" s="70" t="s">
        <v>595</v>
      </c>
      <c r="M1732" s="12" t="s">
        <v>918</v>
      </c>
      <c r="N1732" s="26">
        <v>1</v>
      </c>
      <c r="O1732" s="57">
        <f t="shared" si="42"/>
        <v>1807210</v>
      </c>
      <c r="P1732" s="62">
        <f>1749000+58210</f>
        <v>1807210</v>
      </c>
      <c r="Q1732" s="6" t="s">
        <v>397</v>
      </c>
      <c r="R1732" s="6" t="s">
        <v>770</v>
      </c>
      <c r="S1732" s="12">
        <v>351810000</v>
      </c>
      <c r="T1732" s="26">
        <v>0</v>
      </c>
    </row>
    <row r="1733" spans="1:20" s="14" customFormat="1" ht="76.5">
      <c r="A1733" s="2"/>
      <c r="B1733" s="6">
        <v>1717</v>
      </c>
      <c r="C1733" s="16" t="s">
        <v>714</v>
      </c>
      <c r="D1733" s="38" t="s">
        <v>601</v>
      </c>
      <c r="E1733" s="38" t="s">
        <v>602</v>
      </c>
      <c r="F1733" s="70" t="s">
        <v>603</v>
      </c>
      <c r="G1733" s="70" t="s">
        <v>604</v>
      </c>
      <c r="H1733" s="70" t="s">
        <v>1024</v>
      </c>
      <c r="I1733" s="70" t="s">
        <v>606</v>
      </c>
      <c r="J1733" s="70" t="s">
        <v>2581</v>
      </c>
      <c r="K1733" s="6" t="s">
        <v>2580</v>
      </c>
      <c r="L1733" s="70" t="s">
        <v>595</v>
      </c>
      <c r="M1733" s="12" t="s">
        <v>918</v>
      </c>
      <c r="N1733" s="26">
        <v>1</v>
      </c>
      <c r="O1733" s="57">
        <f t="shared" si="42"/>
        <v>1832158</v>
      </c>
      <c r="P1733" s="62">
        <f>1749000+83158</f>
        <v>1832158</v>
      </c>
      <c r="Q1733" s="6" t="s">
        <v>397</v>
      </c>
      <c r="R1733" s="6" t="s">
        <v>770</v>
      </c>
      <c r="S1733" s="12">
        <v>351810000</v>
      </c>
      <c r="T1733" s="26">
        <v>0</v>
      </c>
    </row>
    <row r="1734" spans="1:20" s="14" customFormat="1" ht="76.5">
      <c r="A1734" s="2"/>
      <c r="B1734" s="6">
        <v>1718</v>
      </c>
      <c r="C1734" s="16" t="s">
        <v>714</v>
      </c>
      <c r="D1734" s="38" t="s">
        <v>601</v>
      </c>
      <c r="E1734" s="38" t="s">
        <v>602</v>
      </c>
      <c r="F1734" s="70" t="s">
        <v>603</v>
      </c>
      <c r="G1734" s="70" t="s">
        <v>604</v>
      </c>
      <c r="H1734" s="70" t="s">
        <v>1024</v>
      </c>
      <c r="I1734" s="70" t="s">
        <v>606</v>
      </c>
      <c r="J1734" s="70" t="s">
        <v>909</v>
      </c>
      <c r="K1734" s="6" t="s">
        <v>322</v>
      </c>
      <c r="L1734" s="70" t="s">
        <v>595</v>
      </c>
      <c r="M1734" s="12" t="s">
        <v>918</v>
      </c>
      <c r="N1734" s="26">
        <v>1</v>
      </c>
      <c r="O1734" s="57">
        <f t="shared" si="42"/>
        <v>1442158</v>
      </c>
      <c r="P1734" s="62">
        <f>1749000-306842</f>
        <v>1442158</v>
      </c>
      <c r="Q1734" s="6" t="s">
        <v>397</v>
      </c>
      <c r="R1734" s="6" t="s">
        <v>770</v>
      </c>
      <c r="S1734" s="16">
        <v>352010000</v>
      </c>
      <c r="T1734" s="26">
        <v>0</v>
      </c>
    </row>
    <row r="1735" spans="1:20" s="14" customFormat="1" ht="76.5">
      <c r="A1735" s="2"/>
      <c r="B1735" s="6">
        <v>1719</v>
      </c>
      <c r="C1735" s="16" t="s">
        <v>714</v>
      </c>
      <c r="D1735" s="38" t="s">
        <v>601</v>
      </c>
      <c r="E1735" s="38" t="s">
        <v>602</v>
      </c>
      <c r="F1735" s="70" t="s">
        <v>603</v>
      </c>
      <c r="G1735" s="70" t="s">
        <v>604</v>
      </c>
      <c r="H1735" s="70" t="s">
        <v>1024</v>
      </c>
      <c r="I1735" s="70" t="s">
        <v>606</v>
      </c>
      <c r="J1735" s="70" t="s">
        <v>2581</v>
      </c>
      <c r="K1735" s="6" t="s">
        <v>2580</v>
      </c>
      <c r="L1735" s="70" t="s">
        <v>595</v>
      </c>
      <c r="M1735" s="12" t="s">
        <v>918</v>
      </c>
      <c r="N1735" s="26">
        <v>1</v>
      </c>
      <c r="O1735" s="57">
        <f t="shared" si="42"/>
        <v>1442158</v>
      </c>
      <c r="P1735" s="62">
        <f>1749000-306842</f>
        <v>1442158</v>
      </c>
      <c r="Q1735" s="6" t="s">
        <v>397</v>
      </c>
      <c r="R1735" s="6" t="s">
        <v>770</v>
      </c>
      <c r="S1735" s="16">
        <v>352010000</v>
      </c>
      <c r="T1735" s="26">
        <v>0</v>
      </c>
    </row>
    <row r="1736" spans="1:20" s="14" customFormat="1" ht="76.5">
      <c r="A1736" s="2"/>
      <c r="B1736" s="6">
        <v>1720</v>
      </c>
      <c r="C1736" s="16" t="s">
        <v>714</v>
      </c>
      <c r="D1736" s="38" t="s">
        <v>601</v>
      </c>
      <c r="E1736" s="38" t="s">
        <v>602</v>
      </c>
      <c r="F1736" s="70" t="s">
        <v>603</v>
      </c>
      <c r="G1736" s="70" t="s">
        <v>604</v>
      </c>
      <c r="H1736" s="70" t="s">
        <v>1024</v>
      </c>
      <c r="I1736" s="70" t="s">
        <v>606</v>
      </c>
      <c r="J1736" s="70" t="s">
        <v>909</v>
      </c>
      <c r="K1736" s="6" t="s">
        <v>322</v>
      </c>
      <c r="L1736" s="70" t="s">
        <v>595</v>
      </c>
      <c r="M1736" s="12" t="s">
        <v>918</v>
      </c>
      <c r="N1736" s="26">
        <v>1</v>
      </c>
      <c r="O1736" s="57">
        <f t="shared" si="42"/>
        <v>1807210</v>
      </c>
      <c r="P1736" s="62">
        <f>1749000+58210</f>
        <v>1807210</v>
      </c>
      <c r="Q1736" s="6" t="s">
        <v>397</v>
      </c>
      <c r="R1736" s="6" t="s">
        <v>770</v>
      </c>
      <c r="S1736" s="6">
        <v>352210000</v>
      </c>
      <c r="T1736" s="26">
        <v>0</v>
      </c>
    </row>
    <row r="1737" spans="1:20" s="14" customFormat="1" ht="76.5">
      <c r="A1737" s="2"/>
      <c r="B1737" s="6">
        <v>1721</v>
      </c>
      <c r="C1737" s="16" t="s">
        <v>714</v>
      </c>
      <c r="D1737" s="38" t="s">
        <v>601</v>
      </c>
      <c r="E1737" s="38" t="s">
        <v>602</v>
      </c>
      <c r="F1737" s="70" t="s">
        <v>603</v>
      </c>
      <c r="G1737" s="70" t="s">
        <v>604</v>
      </c>
      <c r="H1737" s="70" t="s">
        <v>1024</v>
      </c>
      <c r="I1737" s="70" t="s">
        <v>606</v>
      </c>
      <c r="J1737" s="70" t="s">
        <v>2581</v>
      </c>
      <c r="K1737" s="6" t="s">
        <v>2580</v>
      </c>
      <c r="L1737" s="70" t="s">
        <v>595</v>
      </c>
      <c r="M1737" s="12" t="s">
        <v>918</v>
      </c>
      <c r="N1737" s="26">
        <v>1</v>
      </c>
      <c r="O1737" s="57">
        <f t="shared" si="42"/>
        <v>1807210</v>
      </c>
      <c r="P1737" s="62">
        <f>1749000+58210</f>
        <v>1807210</v>
      </c>
      <c r="Q1737" s="6" t="s">
        <v>397</v>
      </c>
      <c r="R1737" s="6" t="s">
        <v>770</v>
      </c>
      <c r="S1737" s="6">
        <v>352210000</v>
      </c>
      <c r="T1737" s="26">
        <v>0</v>
      </c>
    </row>
    <row r="1738" spans="1:20" ht="76.5">
      <c r="B1738" s="6">
        <v>1722</v>
      </c>
      <c r="C1738" s="16" t="s">
        <v>714</v>
      </c>
      <c r="D1738" s="38" t="s">
        <v>601</v>
      </c>
      <c r="E1738" s="38" t="s">
        <v>602</v>
      </c>
      <c r="F1738" s="70" t="s">
        <v>603</v>
      </c>
      <c r="G1738" s="70" t="s">
        <v>604</v>
      </c>
      <c r="H1738" s="70" t="s">
        <v>1024</v>
      </c>
      <c r="I1738" s="70" t="s">
        <v>606</v>
      </c>
      <c r="J1738" s="70" t="s">
        <v>909</v>
      </c>
      <c r="K1738" s="6" t="s">
        <v>322</v>
      </c>
      <c r="L1738" s="70" t="s">
        <v>595</v>
      </c>
      <c r="M1738" s="12" t="s">
        <v>918</v>
      </c>
      <c r="N1738" s="26">
        <v>1</v>
      </c>
      <c r="O1738" s="57">
        <f t="shared" si="42"/>
        <v>1492895</v>
      </c>
      <c r="P1738" s="62">
        <f>1749000-256105</f>
        <v>1492895</v>
      </c>
      <c r="Q1738" s="6" t="s">
        <v>397</v>
      </c>
      <c r="R1738" s="6" t="s">
        <v>770</v>
      </c>
      <c r="S1738" s="91">
        <v>391610000</v>
      </c>
      <c r="T1738" s="26">
        <v>0</v>
      </c>
    </row>
    <row r="1739" spans="1:20" ht="76.5">
      <c r="B1739" s="6">
        <v>1723</v>
      </c>
      <c r="C1739" s="16" t="s">
        <v>714</v>
      </c>
      <c r="D1739" s="38" t="s">
        <v>601</v>
      </c>
      <c r="E1739" s="38" t="s">
        <v>602</v>
      </c>
      <c r="F1739" s="70" t="s">
        <v>603</v>
      </c>
      <c r="G1739" s="70" t="s">
        <v>604</v>
      </c>
      <c r="H1739" s="70" t="s">
        <v>1024</v>
      </c>
      <c r="I1739" s="70" t="s">
        <v>606</v>
      </c>
      <c r="J1739" s="70" t="s">
        <v>2581</v>
      </c>
      <c r="K1739" s="6" t="s">
        <v>2580</v>
      </c>
      <c r="L1739" s="70" t="s">
        <v>595</v>
      </c>
      <c r="M1739" s="12" t="s">
        <v>918</v>
      </c>
      <c r="N1739" s="26">
        <v>1</v>
      </c>
      <c r="O1739" s="57">
        <f t="shared" si="42"/>
        <v>1492895</v>
      </c>
      <c r="P1739" s="62">
        <f>1749000-256105</f>
        <v>1492895</v>
      </c>
      <c r="Q1739" s="6" t="s">
        <v>397</v>
      </c>
      <c r="R1739" s="6" t="s">
        <v>770</v>
      </c>
      <c r="S1739" s="91">
        <v>391610000</v>
      </c>
      <c r="T1739" s="26">
        <v>0</v>
      </c>
    </row>
    <row r="1740" spans="1:20" ht="76.5">
      <c r="B1740" s="6">
        <v>1724</v>
      </c>
      <c r="C1740" s="16" t="s">
        <v>714</v>
      </c>
      <c r="D1740" s="38" t="s">
        <v>601</v>
      </c>
      <c r="E1740" s="38" t="s">
        <v>602</v>
      </c>
      <c r="F1740" s="70" t="s">
        <v>603</v>
      </c>
      <c r="G1740" s="70" t="s">
        <v>604</v>
      </c>
      <c r="H1740" s="70" t="s">
        <v>1024</v>
      </c>
      <c r="I1740" s="70" t="s">
        <v>606</v>
      </c>
      <c r="J1740" s="70" t="s">
        <v>909</v>
      </c>
      <c r="K1740" s="6" t="s">
        <v>322</v>
      </c>
      <c r="L1740" s="70" t="s">
        <v>595</v>
      </c>
      <c r="M1740" s="12" t="s">
        <v>918</v>
      </c>
      <c r="N1740" s="26">
        <v>1</v>
      </c>
      <c r="O1740" s="57">
        <f t="shared" si="42"/>
        <v>1492895</v>
      </c>
      <c r="P1740" s="62">
        <f>1749000-256105</f>
        <v>1492895</v>
      </c>
      <c r="Q1740" s="6" t="s">
        <v>397</v>
      </c>
      <c r="R1740" s="6" t="s">
        <v>770</v>
      </c>
      <c r="S1740" s="12">
        <v>394420100</v>
      </c>
      <c r="T1740" s="26">
        <v>0</v>
      </c>
    </row>
    <row r="1741" spans="1:20" ht="76.5">
      <c r="B1741" s="6">
        <v>1725</v>
      </c>
      <c r="C1741" s="16" t="s">
        <v>714</v>
      </c>
      <c r="D1741" s="38" t="s">
        <v>601</v>
      </c>
      <c r="E1741" s="38" t="s">
        <v>602</v>
      </c>
      <c r="F1741" s="70" t="s">
        <v>603</v>
      </c>
      <c r="G1741" s="70" t="s">
        <v>604</v>
      </c>
      <c r="H1741" s="70" t="s">
        <v>1024</v>
      </c>
      <c r="I1741" s="70" t="s">
        <v>606</v>
      </c>
      <c r="J1741" s="70" t="s">
        <v>2581</v>
      </c>
      <c r="K1741" s="6" t="s">
        <v>2580</v>
      </c>
      <c r="L1741" s="70" t="s">
        <v>595</v>
      </c>
      <c r="M1741" s="12" t="s">
        <v>918</v>
      </c>
      <c r="N1741" s="26">
        <v>1</v>
      </c>
      <c r="O1741" s="57">
        <f t="shared" si="42"/>
        <v>1492895</v>
      </c>
      <c r="P1741" s="62">
        <f>1749000-256105</f>
        <v>1492895</v>
      </c>
      <c r="Q1741" s="6" t="s">
        <v>397</v>
      </c>
      <c r="R1741" s="6" t="s">
        <v>770</v>
      </c>
      <c r="S1741" s="12">
        <v>394420100</v>
      </c>
      <c r="T1741" s="26">
        <v>0</v>
      </c>
    </row>
    <row r="1742" spans="1:20" s="14" customFormat="1" ht="76.5">
      <c r="A1742" s="2"/>
      <c r="B1742" s="6">
        <v>1726</v>
      </c>
      <c r="C1742" s="16" t="s">
        <v>714</v>
      </c>
      <c r="D1742" s="38" t="s">
        <v>601</v>
      </c>
      <c r="E1742" s="38" t="s">
        <v>602</v>
      </c>
      <c r="F1742" s="70" t="s">
        <v>603</v>
      </c>
      <c r="G1742" s="70" t="s">
        <v>604</v>
      </c>
      <c r="H1742" s="70" t="s">
        <v>1024</v>
      </c>
      <c r="I1742" s="70" t="s">
        <v>606</v>
      </c>
      <c r="J1742" s="70" t="s">
        <v>909</v>
      </c>
      <c r="K1742" s="6" t="s">
        <v>322</v>
      </c>
      <c r="L1742" s="70" t="s">
        <v>595</v>
      </c>
      <c r="M1742" s="12" t="s">
        <v>918</v>
      </c>
      <c r="N1742" s="26">
        <v>1</v>
      </c>
      <c r="O1742" s="57">
        <f t="shared" si="42"/>
        <v>1757000</v>
      </c>
      <c r="P1742" s="62">
        <f>1749000+8000</f>
        <v>1757000</v>
      </c>
      <c r="Q1742" s="6" t="s">
        <v>397</v>
      </c>
      <c r="R1742" s="6" t="s">
        <v>770</v>
      </c>
      <c r="S1742" s="38">
        <v>512010000</v>
      </c>
      <c r="T1742" s="6">
        <v>0</v>
      </c>
    </row>
    <row r="1743" spans="1:20" s="14" customFormat="1" ht="76.5">
      <c r="A1743" s="2"/>
      <c r="B1743" s="6">
        <v>1727</v>
      </c>
      <c r="C1743" s="16" t="s">
        <v>714</v>
      </c>
      <c r="D1743" s="38" t="s">
        <v>601</v>
      </c>
      <c r="E1743" s="38" t="s">
        <v>602</v>
      </c>
      <c r="F1743" s="70" t="s">
        <v>603</v>
      </c>
      <c r="G1743" s="70" t="s">
        <v>604</v>
      </c>
      <c r="H1743" s="70" t="s">
        <v>1024</v>
      </c>
      <c r="I1743" s="70" t="s">
        <v>606</v>
      </c>
      <c r="J1743" s="70" t="s">
        <v>2581</v>
      </c>
      <c r="K1743" s="6" t="s">
        <v>2580</v>
      </c>
      <c r="L1743" s="70" t="s">
        <v>595</v>
      </c>
      <c r="M1743" s="12" t="s">
        <v>918</v>
      </c>
      <c r="N1743" s="26">
        <v>1</v>
      </c>
      <c r="O1743" s="57">
        <f t="shared" si="42"/>
        <v>1757000</v>
      </c>
      <c r="P1743" s="62">
        <f>1749000+8000</f>
        <v>1757000</v>
      </c>
      <c r="Q1743" s="6" t="s">
        <v>397</v>
      </c>
      <c r="R1743" s="6" t="s">
        <v>770</v>
      </c>
      <c r="S1743" s="38">
        <v>512010000</v>
      </c>
      <c r="T1743" s="6">
        <v>0</v>
      </c>
    </row>
    <row r="1744" spans="1:20" s="14" customFormat="1" ht="76.5">
      <c r="A1744" s="2"/>
      <c r="B1744" s="6">
        <v>1728</v>
      </c>
      <c r="C1744" s="36" t="s">
        <v>714</v>
      </c>
      <c r="D1744" s="43" t="s">
        <v>601</v>
      </c>
      <c r="E1744" s="38" t="s">
        <v>602</v>
      </c>
      <c r="F1744" s="70" t="s">
        <v>603</v>
      </c>
      <c r="G1744" s="70" t="s">
        <v>604</v>
      </c>
      <c r="H1744" s="70" t="s">
        <v>1024</v>
      </c>
      <c r="I1744" s="70" t="s">
        <v>606</v>
      </c>
      <c r="J1744" s="70" t="s">
        <v>909</v>
      </c>
      <c r="K1744" s="6" t="s">
        <v>322</v>
      </c>
      <c r="L1744" s="70" t="s">
        <v>595</v>
      </c>
      <c r="M1744" s="12" t="s">
        <v>918</v>
      </c>
      <c r="N1744" s="26">
        <v>1</v>
      </c>
      <c r="O1744" s="57">
        <f t="shared" si="42"/>
        <v>1749000</v>
      </c>
      <c r="P1744" s="62">
        <v>1749000</v>
      </c>
      <c r="Q1744" s="6" t="s">
        <v>397</v>
      </c>
      <c r="R1744" s="6" t="s">
        <v>770</v>
      </c>
      <c r="S1744" s="38">
        <v>111810000</v>
      </c>
      <c r="T1744" s="26">
        <v>0</v>
      </c>
    </row>
    <row r="1745" spans="1:20" s="14" customFormat="1" ht="76.5">
      <c r="A1745" s="2"/>
      <c r="B1745" s="6">
        <v>1729</v>
      </c>
      <c r="C1745" s="36" t="s">
        <v>714</v>
      </c>
      <c r="D1745" s="43" t="s">
        <v>601</v>
      </c>
      <c r="E1745" s="38" t="s">
        <v>602</v>
      </c>
      <c r="F1745" s="70" t="s">
        <v>603</v>
      </c>
      <c r="G1745" s="70" t="s">
        <v>604</v>
      </c>
      <c r="H1745" s="70" t="s">
        <v>1024</v>
      </c>
      <c r="I1745" s="70" t="s">
        <v>606</v>
      </c>
      <c r="J1745" s="70" t="s">
        <v>2581</v>
      </c>
      <c r="K1745" s="6" t="s">
        <v>2580</v>
      </c>
      <c r="L1745" s="70" t="s">
        <v>595</v>
      </c>
      <c r="M1745" s="12" t="s">
        <v>918</v>
      </c>
      <c r="N1745" s="26">
        <v>1</v>
      </c>
      <c r="O1745" s="57">
        <f t="shared" si="42"/>
        <v>1749000</v>
      </c>
      <c r="P1745" s="62">
        <v>1749000</v>
      </c>
      <c r="Q1745" s="6" t="s">
        <v>397</v>
      </c>
      <c r="R1745" s="6" t="s">
        <v>770</v>
      </c>
      <c r="S1745" s="38">
        <v>111810000</v>
      </c>
      <c r="T1745" s="26">
        <v>0</v>
      </c>
    </row>
    <row r="1746" spans="1:20" s="14" customFormat="1" ht="76.5">
      <c r="A1746" s="2"/>
      <c r="B1746" s="6">
        <v>1730</v>
      </c>
      <c r="C1746" s="16" t="s">
        <v>714</v>
      </c>
      <c r="D1746" s="38" t="s">
        <v>601</v>
      </c>
      <c r="E1746" s="38" t="s">
        <v>602</v>
      </c>
      <c r="F1746" s="70" t="s">
        <v>603</v>
      </c>
      <c r="G1746" s="70" t="s">
        <v>604</v>
      </c>
      <c r="H1746" s="70" t="s">
        <v>1024</v>
      </c>
      <c r="I1746" s="70" t="s">
        <v>606</v>
      </c>
      <c r="J1746" s="70" t="s">
        <v>909</v>
      </c>
      <c r="K1746" s="6" t="s">
        <v>322</v>
      </c>
      <c r="L1746" s="70" t="s">
        <v>595</v>
      </c>
      <c r="M1746" s="12" t="s">
        <v>918</v>
      </c>
      <c r="N1746" s="26">
        <v>1</v>
      </c>
      <c r="O1746" s="57">
        <f t="shared" si="42"/>
        <v>1516000</v>
      </c>
      <c r="P1746" s="62">
        <f>1749000-233000</f>
        <v>1516000</v>
      </c>
      <c r="Q1746" s="6" t="s">
        <v>397</v>
      </c>
      <c r="R1746" s="6" t="s">
        <v>770</v>
      </c>
      <c r="S1746" s="16">
        <v>156020100</v>
      </c>
      <c r="T1746" s="6">
        <v>0</v>
      </c>
    </row>
    <row r="1747" spans="1:20" s="14" customFormat="1" ht="76.5">
      <c r="A1747" s="2"/>
      <c r="B1747" s="6">
        <v>1731</v>
      </c>
      <c r="C1747" s="16" t="s">
        <v>714</v>
      </c>
      <c r="D1747" s="38" t="s">
        <v>601</v>
      </c>
      <c r="E1747" s="38" t="s">
        <v>602</v>
      </c>
      <c r="F1747" s="70" t="s">
        <v>603</v>
      </c>
      <c r="G1747" s="70" t="s">
        <v>604</v>
      </c>
      <c r="H1747" s="70" t="s">
        <v>1024</v>
      </c>
      <c r="I1747" s="70" t="s">
        <v>606</v>
      </c>
      <c r="J1747" s="70" t="s">
        <v>2581</v>
      </c>
      <c r="K1747" s="6" t="s">
        <v>2580</v>
      </c>
      <c r="L1747" s="70" t="s">
        <v>595</v>
      </c>
      <c r="M1747" s="12" t="s">
        <v>918</v>
      </c>
      <c r="N1747" s="26">
        <v>1</v>
      </c>
      <c r="O1747" s="57">
        <f t="shared" si="42"/>
        <v>1516000</v>
      </c>
      <c r="P1747" s="62">
        <f>1749000-233000</f>
        <v>1516000</v>
      </c>
      <c r="Q1747" s="6" t="s">
        <v>397</v>
      </c>
      <c r="R1747" s="6" t="s">
        <v>770</v>
      </c>
      <c r="S1747" s="16">
        <v>156020100</v>
      </c>
      <c r="T1747" s="6">
        <v>0</v>
      </c>
    </row>
    <row r="1748" spans="1:20" s="14" customFormat="1" ht="76.5">
      <c r="A1748" s="2"/>
      <c r="B1748" s="6">
        <v>1732</v>
      </c>
      <c r="C1748" s="36" t="s">
        <v>714</v>
      </c>
      <c r="D1748" s="52" t="s">
        <v>601</v>
      </c>
      <c r="E1748" s="38" t="s">
        <v>602</v>
      </c>
      <c r="F1748" s="70" t="s">
        <v>603</v>
      </c>
      <c r="G1748" s="70" t="s">
        <v>786</v>
      </c>
      <c r="H1748" s="70" t="s">
        <v>605</v>
      </c>
      <c r="I1748" s="70" t="s">
        <v>606</v>
      </c>
      <c r="J1748" s="70" t="s">
        <v>909</v>
      </c>
      <c r="K1748" s="6" t="s">
        <v>322</v>
      </c>
      <c r="L1748" s="70" t="s">
        <v>595</v>
      </c>
      <c r="M1748" s="12" t="s">
        <v>918</v>
      </c>
      <c r="N1748" s="26">
        <v>1</v>
      </c>
      <c r="O1748" s="57">
        <f t="shared" si="42"/>
        <v>1359000</v>
      </c>
      <c r="P1748" s="62">
        <f>1749000-390000</f>
        <v>1359000</v>
      </c>
      <c r="Q1748" s="6" t="s">
        <v>397</v>
      </c>
      <c r="R1748" s="6" t="s">
        <v>770</v>
      </c>
      <c r="S1748" s="16">
        <v>192610000</v>
      </c>
      <c r="T1748" s="6">
        <v>0</v>
      </c>
    </row>
    <row r="1749" spans="1:20" s="14" customFormat="1" ht="76.5">
      <c r="A1749" s="2"/>
      <c r="B1749" s="6">
        <v>1733</v>
      </c>
      <c r="C1749" s="36" t="s">
        <v>714</v>
      </c>
      <c r="D1749" s="52" t="s">
        <v>601</v>
      </c>
      <c r="E1749" s="38" t="s">
        <v>602</v>
      </c>
      <c r="F1749" s="70" t="s">
        <v>603</v>
      </c>
      <c r="G1749" s="70" t="s">
        <v>786</v>
      </c>
      <c r="H1749" s="70" t="s">
        <v>605</v>
      </c>
      <c r="I1749" s="70" t="s">
        <v>606</v>
      </c>
      <c r="J1749" s="70" t="s">
        <v>2581</v>
      </c>
      <c r="K1749" s="6" t="s">
        <v>2580</v>
      </c>
      <c r="L1749" s="70" t="s">
        <v>595</v>
      </c>
      <c r="M1749" s="12" t="s">
        <v>918</v>
      </c>
      <c r="N1749" s="26">
        <v>1</v>
      </c>
      <c r="O1749" s="57">
        <f t="shared" si="42"/>
        <v>1359000</v>
      </c>
      <c r="P1749" s="62">
        <f>1749000-390000</f>
        <v>1359000</v>
      </c>
      <c r="Q1749" s="6" t="s">
        <v>397</v>
      </c>
      <c r="R1749" s="6" t="s">
        <v>770</v>
      </c>
      <c r="S1749" s="16">
        <v>192610000</v>
      </c>
      <c r="T1749" s="6">
        <v>0</v>
      </c>
    </row>
    <row r="1750" spans="1:20" s="45" customFormat="1" ht="76.5">
      <c r="A1750" s="44"/>
      <c r="B1750" s="6">
        <v>1734</v>
      </c>
      <c r="C1750" s="16" t="s">
        <v>714</v>
      </c>
      <c r="D1750" s="38" t="s">
        <v>601</v>
      </c>
      <c r="E1750" s="38" t="s">
        <v>602</v>
      </c>
      <c r="F1750" s="70" t="s">
        <v>603</v>
      </c>
      <c r="G1750" s="70" t="s">
        <v>604</v>
      </c>
      <c r="H1750" s="70" t="s">
        <v>1024</v>
      </c>
      <c r="I1750" s="70" t="s">
        <v>606</v>
      </c>
      <c r="J1750" s="70" t="s">
        <v>909</v>
      </c>
      <c r="K1750" s="6" t="s">
        <v>322</v>
      </c>
      <c r="L1750" s="70" t="s">
        <v>595</v>
      </c>
      <c r="M1750" s="12" t="s">
        <v>918</v>
      </c>
      <c r="N1750" s="26">
        <v>1</v>
      </c>
      <c r="O1750" s="57">
        <f t="shared" si="42"/>
        <v>1518000</v>
      </c>
      <c r="P1750" s="62">
        <f>1749000-231000</f>
        <v>1518000</v>
      </c>
      <c r="Q1750" s="6" t="s">
        <v>397</v>
      </c>
      <c r="R1750" s="6" t="s">
        <v>770</v>
      </c>
      <c r="S1750" s="12">
        <v>273620100</v>
      </c>
      <c r="T1750" s="26">
        <v>0</v>
      </c>
    </row>
    <row r="1751" spans="1:20" s="45" customFormat="1" ht="76.5">
      <c r="A1751" s="44"/>
      <c r="B1751" s="6">
        <v>1735</v>
      </c>
      <c r="C1751" s="16" t="s">
        <v>714</v>
      </c>
      <c r="D1751" s="38" t="s">
        <v>601</v>
      </c>
      <c r="E1751" s="38" t="s">
        <v>602</v>
      </c>
      <c r="F1751" s="70" t="s">
        <v>603</v>
      </c>
      <c r="G1751" s="70" t="s">
        <v>604</v>
      </c>
      <c r="H1751" s="70" t="s">
        <v>1024</v>
      </c>
      <c r="I1751" s="70" t="s">
        <v>606</v>
      </c>
      <c r="J1751" s="70" t="s">
        <v>2581</v>
      </c>
      <c r="K1751" s="6" t="s">
        <v>2580</v>
      </c>
      <c r="L1751" s="70" t="s">
        <v>595</v>
      </c>
      <c r="M1751" s="12" t="s">
        <v>918</v>
      </c>
      <c r="N1751" s="26">
        <v>1</v>
      </c>
      <c r="O1751" s="57">
        <f t="shared" si="42"/>
        <v>1518000</v>
      </c>
      <c r="P1751" s="62">
        <f>1749000-231000</f>
        <v>1518000</v>
      </c>
      <c r="Q1751" s="6" t="s">
        <v>397</v>
      </c>
      <c r="R1751" s="6" t="s">
        <v>770</v>
      </c>
      <c r="S1751" s="12">
        <v>273620100</v>
      </c>
      <c r="T1751" s="26">
        <v>0</v>
      </c>
    </row>
    <row r="1752" spans="1:20" s="92" customFormat="1" ht="76.5">
      <c r="A1752" s="54"/>
      <c r="B1752" s="6">
        <v>1736</v>
      </c>
      <c r="C1752" s="16" t="s">
        <v>714</v>
      </c>
      <c r="D1752" s="38" t="s">
        <v>601</v>
      </c>
      <c r="E1752" s="38" t="s">
        <v>602</v>
      </c>
      <c r="F1752" s="70" t="s">
        <v>603</v>
      </c>
      <c r="G1752" s="70" t="s">
        <v>604</v>
      </c>
      <c r="H1752" s="70" t="s">
        <v>1024</v>
      </c>
      <c r="I1752" s="70" t="s">
        <v>606</v>
      </c>
      <c r="J1752" s="70" t="s">
        <v>909</v>
      </c>
      <c r="K1752" s="6" t="s">
        <v>322</v>
      </c>
      <c r="L1752" s="70" t="s">
        <v>595</v>
      </c>
      <c r="M1752" s="12" t="s">
        <v>918</v>
      </c>
      <c r="N1752" s="26">
        <v>1</v>
      </c>
      <c r="O1752" s="57">
        <f t="shared" si="42"/>
        <v>1832158</v>
      </c>
      <c r="P1752" s="62">
        <f>1749000+83158</f>
        <v>1832158</v>
      </c>
      <c r="Q1752" s="6" t="s">
        <v>397</v>
      </c>
      <c r="R1752" s="6" t="s">
        <v>770</v>
      </c>
      <c r="S1752" s="6">
        <v>352310000</v>
      </c>
      <c r="T1752" s="26">
        <v>0</v>
      </c>
    </row>
    <row r="1753" spans="1:20" s="14" customFormat="1" ht="76.5">
      <c r="A1753" s="2"/>
      <c r="B1753" s="6">
        <v>1737</v>
      </c>
      <c r="C1753" s="16" t="s">
        <v>714</v>
      </c>
      <c r="D1753" s="38" t="s">
        <v>601</v>
      </c>
      <c r="E1753" s="38" t="s">
        <v>602</v>
      </c>
      <c r="F1753" s="70" t="s">
        <v>603</v>
      </c>
      <c r="G1753" s="70" t="s">
        <v>604</v>
      </c>
      <c r="H1753" s="70" t="s">
        <v>1024</v>
      </c>
      <c r="I1753" s="70" t="s">
        <v>606</v>
      </c>
      <c r="J1753" s="70" t="s">
        <v>2581</v>
      </c>
      <c r="K1753" s="6" t="s">
        <v>2580</v>
      </c>
      <c r="L1753" s="70" t="s">
        <v>595</v>
      </c>
      <c r="M1753" s="12" t="s">
        <v>918</v>
      </c>
      <c r="N1753" s="26">
        <v>1</v>
      </c>
      <c r="O1753" s="57">
        <f t="shared" si="42"/>
        <v>1832158</v>
      </c>
      <c r="P1753" s="62">
        <f>1749000+83158</f>
        <v>1832158</v>
      </c>
      <c r="Q1753" s="6" t="s">
        <v>397</v>
      </c>
      <c r="R1753" s="6" t="s">
        <v>770</v>
      </c>
      <c r="S1753" s="6">
        <v>352310000</v>
      </c>
      <c r="T1753" s="26">
        <v>0</v>
      </c>
    </row>
    <row r="1754" spans="1:20" s="14" customFormat="1" ht="76.5">
      <c r="A1754" s="2"/>
      <c r="B1754" s="6">
        <v>1738</v>
      </c>
      <c r="C1754" s="16" t="s">
        <v>714</v>
      </c>
      <c r="D1754" s="38" t="s">
        <v>601</v>
      </c>
      <c r="E1754" s="38" t="s">
        <v>602</v>
      </c>
      <c r="F1754" s="70" t="s">
        <v>603</v>
      </c>
      <c r="G1754" s="70" t="s">
        <v>604</v>
      </c>
      <c r="H1754" s="70" t="s">
        <v>1024</v>
      </c>
      <c r="I1754" s="70" t="s">
        <v>606</v>
      </c>
      <c r="J1754" s="70" t="s">
        <v>909</v>
      </c>
      <c r="K1754" s="6" t="s">
        <v>322</v>
      </c>
      <c r="L1754" s="70" t="s">
        <v>595</v>
      </c>
      <c r="M1754" s="12" t="s">
        <v>918</v>
      </c>
      <c r="N1754" s="26">
        <v>1</v>
      </c>
      <c r="O1754" s="57">
        <f t="shared" si="42"/>
        <v>1832158</v>
      </c>
      <c r="P1754" s="62">
        <f>1749000+83158</f>
        <v>1832158</v>
      </c>
      <c r="Q1754" s="6" t="s">
        <v>397</v>
      </c>
      <c r="R1754" s="6" t="s">
        <v>770</v>
      </c>
      <c r="S1754" s="6">
        <v>352410000</v>
      </c>
      <c r="T1754" s="26">
        <v>0</v>
      </c>
    </row>
    <row r="1755" spans="1:20" s="14" customFormat="1" ht="76.5">
      <c r="A1755" s="2"/>
      <c r="B1755" s="6">
        <v>1739</v>
      </c>
      <c r="C1755" s="16" t="s">
        <v>714</v>
      </c>
      <c r="D1755" s="38" t="s">
        <v>601</v>
      </c>
      <c r="E1755" s="38" t="s">
        <v>602</v>
      </c>
      <c r="F1755" s="70" t="s">
        <v>603</v>
      </c>
      <c r="G1755" s="70" t="s">
        <v>604</v>
      </c>
      <c r="H1755" s="70" t="s">
        <v>1024</v>
      </c>
      <c r="I1755" s="70" t="s">
        <v>606</v>
      </c>
      <c r="J1755" s="70" t="s">
        <v>2581</v>
      </c>
      <c r="K1755" s="6" t="s">
        <v>2580</v>
      </c>
      <c r="L1755" s="70" t="s">
        <v>595</v>
      </c>
      <c r="M1755" s="12" t="s">
        <v>918</v>
      </c>
      <c r="N1755" s="26">
        <v>1</v>
      </c>
      <c r="O1755" s="57">
        <f t="shared" si="42"/>
        <v>1832158</v>
      </c>
      <c r="P1755" s="62">
        <f>1749000+83158</f>
        <v>1832158</v>
      </c>
      <c r="Q1755" s="6" t="s">
        <v>397</v>
      </c>
      <c r="R1755" s="6" t="s">
        <v>770</v>
      </c>
      <c r="S1755" s="6">
        <v>352410000</v>
      </c>
      <c r="T1755" s="26">
        <v>0</v>
      </c>
    </row>
    <row r="1756" spans="1:20" s="14" customFormat="1" ht="76.5">
      <c r="A1756" s="2"/>
      <c r="B1756" s="6">
        <v>1740</v>
      </c>
      <c r="C1756" s="16" t="s">
        <v>714</v>
      </c>
      <c r="D1756" s="38" t="s">
        <v>601</v>
      </c>
      <c r="E1756" s="38" t="s">
        <v>602</v>
      </c>
      <c r="F1756" s="70" t="s">
        <v>603</v>
      </c>
      <c r="G1756" s="70" t="s">
        <v>604</v>
      </c>
      <c r="H1756" s="70" t="s">
        <v>1024</v>
      </c>
      <c r="I1756" s="70" t="s">
        <v>606</v>
      </c>
      <c r="J1756" s="70" t="s">
        <v>909</v>
      </c>
      <c r="K1756" s="6" t="s">
        <v>322</v>
      </c>
      <c r="L1756" s="70" t="s">
        <v>595</v>
      </c>
      <c r="M1756" s="12" t="s">
        <v>918</v>
      </c>
      <c r="N1756" s="26">
        <v>1</v>
      </c>
      <c r="O1756" s="57">
        <f t="shared" si="42"/>
        <v>1807210</v>
      </c>
      <c r="P1756" s="62">
        <f>1749000+58210</f>
        <v>1807210</v>
      </c>
      <c r="Q1756" s="6" t="s">
        <v>397</v>
      </c>
      <c r="R1756" s="6" t="s">
        <v>770</v>
      </c>
      <c r="S1756" s="6">
        <v>352810000</v>
      </c>
      <c r="T1756" s="26">
        <v>0</v>
      </c>
    </row>
    <row r="1757" spans="1:20" s="14" customFormat="1" ht="76.5">
      <c r="A1757" s="2"/>
      <c r="B1757" s="6">
        <v>1741</v>
      </c>
      <c r="C1757" s="16" t="s">
        <v>714</v>
      </c>
      <c r="D1757" s="38" t="s">
        <v>601</v>
      </c>
      <c r="E1757" s="38" t="s">
        <v>602</v>
      </c>
      <c r="F1757" s="70" t="s">
        <v>603</v>
      </c>
      <c r="G1757" s="70" t="s">
        <v>604</v>
      </c>
      <c r="H1757" s="70" t="s">
        <v>1024</v>
      </c>
      <c r="I1757" s="70" t="s">
        <v>606</v>
      </c>
      <c r="J1757" s="70" t="s">
        <v>2581</v>
      </c>
      <c r="K1757" s="6" t="s">
        <v>2580</v>
      </c>
      <c r="L1757" s="70" t="s">
        <v>595</v>
      </c>
      <c r="M1757" s="12" t="s">
        <v>918</v>
      </c>
      <c r="N1757" s="26">
        <v>1</v>
      </c>
      <c r="O1757" s="57">
        <f t="shared" si="42"/>
        <v>1832158</v>
      </c>
      <c r="P1757" s="62">
        <f>1749000+83158</f>
        <v>1832158</v>
      </c>
      <c r="Q1757" s="6" t="s">
        <v>397</v>
      </c>
      <c r="R1757" s="6" t="s">
        <v>770</v>
      </c>
      <c r="S1757" s="6">
        <v>352810000</v>
      </c>
      <c r="T1757" s="26">
        <v>0</v>
      </c>
    </row>
    <row r="1758" spans="1:20" s="14" customFormat="1" ht="76.5">
      <c r="A1758" s="2"/>
      <c r="B1758" s="6">
        <v>1742</v>
      </c>
      <c r="C1758" s="16" t="s">
        <v>714</v>
      </c>
      <c r="D1758" s="38" t="s">
        <v>601</v>
      </c>
      <c r="E1758" s="38" t="s">
        <v>602</v>
      </c>
      <c r="F1758" s="70" t="s">
        <v>603</v>
      </c>
      <c r="G1758" s="70" t="s">
        <v>604</v>
      </c>
      <c r="H1758" s="70" t="s">
        <v>1024</v>
      </c>
      <c r="I1758" s="70" t="s">
        <v>606</v>
      </c>
      <c r="J1758" s="70" t="s">
        <v>909</v>
      </c>
      <c r="K1758" s="6" t="s">
        <v>322</v>
      </c>
      <c r="L1758" s="70" t="s">
        <v>595</v>
      </c>
      <c r="M1758" s="12" t="s">
        <v>918</v>
      </c>
      <c r="N1758" s="26">
        <v>1</v>
      </c>
      <c r="O1758" s="57">
        <f t="shared" si="42"/>
        <v>1442158</v>
      </c>
      <c r="P1758" s="62">
        <f>1749000-306842</f>
        <v>1442158</v>
      </c>
      <c r="Q1758" s="6" t="s">
        <v>397</v>
      </c>
      <c r="R1758" s="6" t="s">
        <v>770</v>
      </c>
      <c r="S1758" s="16">
        <v>353220100</v>
      </c>
      <c r="T1758" s="26">
        <v>0</v>
      </c>
    </row>
    <row r="1759" spans="1:20" s="14" customFormat="1" ht="76.5">
      <c r="A1759" s="2"/>
      <c r="B1759" s="6">
        <v>1743</v>
      </c>
      <c r="C1759" s="16" t="s">
        <v>714</v>
      </c>
      <c r="D1759" s="38" t="s">
        <v>601</v>
      </c>
      <c r="E1759" s="38" t="s">
        <v>602</v>
      </c>
      <c r="F1759" s="70" t="s">
        <v>603</v>
      </c>
      <c r="G1759" s="70" t="s">
        <v>604</v>
      </c>
      <c r="H1759" s="70" t="s">
        <v>1024</v>
      </c>
      <c r="I1759" s="70" t="s">
        <v>606</v>
      </c>
      <c r="J1759" s="70" t="s">
        <v>2581</v>
      </c>
      <c r="K1759" s="6" t="s">
        <v>2580</v>
      </c>
      <c r="L1759" s="70" t="s">
        <v>595</v>
      </c>
      <c r="M1759" s="12" t="s">
        <v>918</v>
      </c>
      <c r="N1759" s="26">
        <v>1</v>
      </c>
      <c r="O1759" s="57">
        <f t="shared" si="42"/>
        <v>1442158</v>
      </c>
      <c r="P1759" s="62">
        <f>1749000-306842</f>
        <v>1442158</v>
      </c>
      <c r="Q1759" s="6" t="s">
        <v>397</v>
      </c>
      <c r="R1759" s="6" t="s">
        <v>770</v>
      </c>
      <c r="S1759" s="16">
        <v>353220100</v>
      </c>
      <c r="T1759" s="26">
        <v>0</v>
      </c>
    </row>
    <row r="1760" spans="1:20" ht="76.5">
      <c r="B1760" s="6">
        <v>1744</v>
      </c>
      <c r="C1760" s="16" t="s">
        <v>714</v>
      </c>
      <c r="D1760" s="38" t="s">
        <v>601</v>
      </c>
      <c r="E1760" s="38" t="s">
        <v>602</v>
      </c>
      <c r="F1760" s="70" t="s">
        <v>603</v>
      </c>
      <c r="G1760" s="70" t="s">
        <v>604</v>
      </c>
      <c r="H1760" s="70" t="s">
        <v>1024</v>
      </c>
      <c r="I1760" s="70" t="s">
        <v>606</v>
      </c>
      <c r="J1760" s="70" t="s">
        <v>909</v>
      </c>
      <c r="K1760" s="6" t="s">
        <v>322</v>
      </c>
      <c r="L1760" s="70" t="s">
        <v>595</v>
      </c>
      <c r="M1760" s="12" t="s">
        <v>918</v>
      </c>
      <c r="N1760" s="26">
        <v>1</v>
      </c>
      <c r="O1760" s="57">
        <f t="shared" si="42"/>
        <v>1882895</v>
      </c>
      <c r="P1760" s="62">
        <f>1749000+133895</f>
        <v>1882895</v>
      </c>
      <c r="Q1760" s="6" t="s">
        <v>397</v>
      </c>
      <c r="R1760" s="6" t="s">
        <v>770</v>
      </c>
      <c r="S1760" s="38">
        <v>392010000</v>
      </c>
      <c r="T1760" s="26">
        <v>0</v>
      </c>
    </row>
    <row r="1761" spans="2:20" ht="76.5">
      <c r="B1761" s="6">
        <v>1745</v>
      </c>
      <c r="C1761" s="16" t="s">
        <v>714</v>
      </c>
      <c r="D1761" s="38" t="s">
        <v>601</v>
      </c>
      <c r="E1761" s="38" t="s">
        <v>602</v>
      </c>
      <c r="F1761" s="70" t="s">
        <v>603</v>
      </c>
      <c r="G1761" s="70" t="s">
        <v>604</v>
      </c>
      <c r="H1761" s="70" t="s">
        <v>1024</v>
      </c>
      <c r="I1761" s="70" t="s">
        <v>606</v>
      </c>
      <c r="J1761" s="70" t="s">
        <v>2581</v>
      </c>
      <c r="K1761" s="6" t="s">
        <v>2580</v>
      </c>
      <c r="L1761" s="70" t="s">
        <v>595</v>
      </c>
      <c r="M1761" s="12" t="s">
        <v>918</v>
      </c>
      <c r="N1761" s="26">
        <v>1</v>
      </c>
      <c r="O1761" s="57">
        <f t="shared" si="42"/>
        <v>1882895</v>
      </c>
      <c r="P1761" s="62">
        <f>1749000+133895</f>
        <v>1882895</v>
      </c>
      <c r="Q1761" s="6" t="s">
        <v>397</v>
      </c>
      <c r="R1761" s="6" t="s">
        <v>770</v>
      </c>
      <c r="S1761" s="38">
        <v>392010000</v>
      </c>
      <c r="T1761" s="26">
        <v>0</v>
      </c>
    </row>
    <row r="1762" spans="2:20" ht="76.5">
      <c r="B1762" s="6">
        <v>1746</v>
      </c>
      <c r="C1762" s="16" t="s">
        <v>714</v>
      </c>
      <c r="D1762" s="38" t="s">
        <v>601</v>
      </c>
      <c r="E1762" s="38" t="s">
        <v>602</v>
      </c>
      <c r="F1762" s="70" t="s">
        <v>603</v>
      </c>
      <c r="G1762" s="70" t="s">
        <v>604</v>
      </c>
      <c r="H1762" s="70" t="s">
        <v>1024</v>
      </c>
      <c r="I1762" s="70" t="s">
        <v>606</v>
      </c>
      <c r="J1762" s="70" t="s">
        <v>909</v>
      </c>
      <c r="K1762" s="6" t="s">
        <v>322</v>
      </c>
      <c r="L1762" s="70" t="s">
        <v>595</v>
      </c>
      <c r="M1762" s="12" t="s">
        <v>918</v>
      </c>
      <c r="N1762" s="26">
        <v>1</v>
      </c>
      <c r="O1762" s="57">
        <f t="shared" si="42"/>
        <v>1824316</v>
      </c>
      <c r="P1762" s="62">
        <f>1749000+75316</f>
        <v>1824316</v>
      </c>
      <c r="Q1762" s="6" t="s">
        <v>397</v>
      </c>
      <c r="R1762" s="6" t="s">
        <v>770</v>
      </c>
      <c r="S1762" s="38">
        <v>392410000</v>
      </c>
      <c r="T1762" s="26">
        <v>0</v>
      </c>
    </row>
    <row r="1763" spans="2:20" ht="76.5">
      <c r="B1763" s="6">
        <v>1747</v>
      </c>
      <c r="C1763" s="16" t="s">
        <v>714</v>
      </c>
      <c r="D1763" s="38" t="s">
        <v>601</v>
      </c>
      <c r="E1763" s="38" t="s">
        <v>602</v>
      </c>
      <c r="F1763" s="70" t="s">
        <v>603</v>
      </c>
      <c r="G1763" s="70" t="s">
        <v>604</v>
      </c>
      <c r="H1763" s="70" t="s">
        <v>1024</v>
      </c>
      <c r="I1763" s="70" t="s">
        <v>606</v>
      </c>
      <c r="J1763" s="70" t="s">
        <v>2581</v>
      </c>
      <c r="K1763" s="6" t="s">
        <v>2580</v>
      </c>
      <c r="L1763" s="70" t="s">
        <v>595</v>
      </c>
      <c r="M1763" s="12" t="s">
        <v>918</v>
      </c>
      <c r="N1763" s="26">
        <v>1</v>
      </c>
      <c r="O1763" s="57">
        <f t="shared" si="42"/>
        <v>1891263</v>
      </c>
      <c r="P1763" s="62">
        <f>1749000+142263</f>
        <v>1891263</v>
      </c>
      <c r="Q1763" s="6" t="s">
        <v>397</v>
      </c>
      <c r="R1763" s="6" t="s">
        <v>770</v>
      </c>
      <c r="S1763" s="38">
        <v>392410000</v>
      </c>
      <c r="T1763" s="26">
        <v>0</v>
      </c>
    </row>
    <row r="1764" spans="2:20" ht="41.25" customHeight="1">
      <c r="B1764" s="6">
        <v>1748</v>
      </c>
      <c r="C1764" s="36" t="s">
        <v>714</v>
      </c>
      <c r="D1764" s="6" t="s">
        <v>601</v>
      </c>
      <c r="E1764" s="38" t="s">
        <v>602</v>
      </c>
      <c r="F1764" s="70" t="s">
        <v>603</v>
      </c>
      <c r="G1764" s="70" t="s">
        <v>604</v>
      </c>
      <c r="H1764" s="70" t="s">
        <v>1024</v>
      </c>
      <c r="I1764" s="70" t="s">
        <v>606</v>
      </c>
      <c r="J1764" s="70" t="s">
        <v>909</v>
      </c>
      <c r="K1764" s="6" t="s">
        <v>322</v>
      </c>
      <c r="L1764" s="70" t="s">
        <v>595</v>
      </c>
      <c r="M1764" s="12" t="s">
        <v>918</v>
      </c>
      <c r="N1764" s="26">
        <v>1</v>
      </c>
      <c r="O1764" s="57">
        <f t="shared" si="42"/>
        <v>1908000</v>
      </c>
      <c r="P1764" s="62">
        <f t="shared" ref="P1764:P1769" si="44">1749000+159000</f>
        <v>1908000</v>
      </c>
      <c r="Q1764" s="6" t="s">
        <v>397</v>
      </c>
      <c r="R1764" s="6" t="s">
        <v>770</v>
      </c>
      <c r="S1764" s="38">
        <v>471810000</v>
      </c>
      <c r="T1764" s="26">
        <v>0</v>
      </c>
    </row>
    <row r="1765" spans="2:20" ht="53.25" customHeight="1">
      <c r="B1765" s="6">
        <v>1749</v>
      </c>
      <c r="C1765" s="36" t="s">
        <v>714</v>
      </c>
      <c r="D1765" s="6" t="s">
        <v>601</v>
      </c>
      <c r="E1765" s="38" t="s">
        <v>602</v>
      </c>
      <c r="F1765" s="70" t="s">
        <v>603</v>
      </c>
      <c r="G1765" s="70" t="s">
        <v>604</v>
      </c>
      <c r="H1765" s="70" t="s">
        <v>1024</v>
      </c>
      <c r="I1765" s="70" t="s">
        <v>606</v>
      </c>
      <c r="J1765" s="70" t="s">
        <v>2581</v>
      </c>
      <c r="K1765" s="6" t="s">
        <v>2580</v>
      </c>
      <c r="L1765" s="70" t="s">
        <v>595</v>
      </c>
      <c r="M1765" s="12" t="s">
        <v>918</v>
      </c>
      <c r="N1765" s="26">
        <v>1</v>
      </c>
      <c r="O1765" s="57">
        <f t="shared" si="42"/>
        <v>1908000</v>
      </c>
      <c r="P1765" s="62">
        <f t="shared" si="44"/>
        <v>1908000</v>
      </c>
      <c r="Q1765" s="6" t="s">
        <v>397</v>
      </c>
      <c r="R1765" s="6" t="s">
        <v>770</v>
      </c>
      <c r="S1765" s="38">
        <v>471810000</v>
      </c>
      <c r="T1765" s="26">
        <v>0</v>
      </c>
    </row>
    <row r="1766" spans="2:20" s="39" customFormat="1" ht="79.5" customHeight="1">
      <c r="B1766" s="6">
        <v>1750</v>
      </c>
      <c r="C1766" s="16" t="s">
        <v>714</v>
      </c>
      <c r="D1766" s="38" t="s">
        <v>601</v>
      </c>
      <c r="E1766" s="38" t="s">
        <v>602</v>
      </c>
      <c r="F1766" s="70" t="s">
        <v>603</v>
      </c>
      <c r="G1766" s="70" t="s">
        <v>604</v>
      </c>
      <c r="H1766" s="70" t="s">
        <v>1024</v>
      </c>
      <c r="I1766" s="70" t="s">
        <v>606</v>
      </c>
      <c r="J1766" s="70" t="s">
        <v>909</v>
      </c>
      <c r="K1766" s="6" t="s">
        <v>322</v>
      </c>
      <c r="L1766" s="70" t="s">
        <v>595</v>
      </c>
      <c r="M1766" s="12" t="s">
        <v>918</v>
      </c>
      <c r="N1766" s="26">
        <v>1</v>
      </c>
      <c r="O1766" s="57">
        <f t="shared" si="42"/>
        <v>1908000</v>
      </c>
      <c r="P1766" s="62">
        <f t="shared" si="44"/>
        <v>1908000</v>
      </c>
      <c r="Q1766" s="6" t="s">
        <v>397</v>
      </c>
      <c r="R1766" s="6" t="s">
        <v>770</v>
      </c>
      <c r="S1766" s="38">
        <v>552210000</v>
      </c>
      <c r="T1766" s="26">
        <v>0</v>
      </c>
    </row>
    <row r="1767" spans="2:20" s="39" customFormat="1" ht="84" customHeight="1">
      <c r="B1767" s="6">
        <v>1751</v>
      </c>
      <c r="C1767" s="16" t="s">
        <v>714</v>
      </c>
      <c r="D1767" s="38" t="s">
        <v>601</v>
      </c>
      <c r="E1767" s="38" t="s">
        <v>602</v>
      </c>
      <c r="F1767" s="70" t="s">
        <v>603</v>
      </c>
      <c r="G1767" s="70" t="s">
        <v>604</v>
      </c>
      <c r="H1767" s="70" t="s">
        <v>1024</v>
      </c>
      <c r="I1767" s="70" t="s">
        <v>606</v>
      </c>
      <c r="J1767" s="70" t="s">
        <v>2581</v>
      </c>
      <c r="K1767" s="6" t="s">
        <v>2580</v>
      </c>
      <c r="L1767" s="70" t="s">
        <v>595</v>
      </c>
      <c r="M1767" s="12" t="s">
        <v>918</v>
      </c>
      <c r="N1767" s="26">
        <v>1</v>
      </c>
      <c r="O1767" s="57">
        <f t="shared" si="42"/>
        <v>1908000</v>
      </c>
      <c r="P1767" s="62">
        <f t="shared" si="44"/>
        <v>1908000</v>
      </c>
      <c r="Q1767" s="6" t="s">
        <v>397</v>
      </c>
      <c r="R1767" s="6" t="s">
        <v>770</v>
      </c>
      <c r="S1767" s="38">
        <v>552210000</v>
      </c>
      <c r="T1767" s="26">
        <v>0</v>
      </c>
    </row>
    <row r="1768" spans="2:20" s="39" customFormat="1" ht="81.75" customHeight="1">
      <c r="B1768" s="6">
        <v>1752</v>
      </c>
      <c r="C1768" s="16" t="s">
        <v>714</v>
      </c>
      <c r="D1768" s="38" t="s">
        <v>601</v>
      </c>
      <c r="E1768" s="38" t="s">
        <v>602</v>
      </c>
      <c r="F1768" s="70" t="s">
        <v>603</v>
      </c>
      <c r="G1768" s="70" t="s">
        <v>604</v>
      </c>
      <c r="H1768" s="70" t="s">
        <v>1024</v>
      </c>
      <c r="I1768" s="70" t="s">
        <v>606</v>
      </c>
      <c r="J1768" s="70" t="s">
        <v>909</v>
      </c>
      <c r="K1768" s="6" t="s">
        <v>322</v>
      </c>
      <c r="L1768" s="70" t="s">
        <v>595</v>
      </c>
      <c r="M1768" s="12" t="s">
        <v>918</v>
      </c>
      <c r="N1768" s="26">
        <v>1</v>
      </c>
      <c r="O1768" s="57">
        <f t="shared" si="42"/>
        <v>1908000</v>
      </c>
      <c r="P1768" s="62">
        <f t="shared" si="44"/>
        <v>1908000</v>
      </c>
      <c r="Q1768" s="6" t="s">
        <v>397</v>
      </c>
      <c r="R1768" s="6" t="s">
        <v>770</v>
      </c>
      <c r="S1768" s="38">
        <v>551610000</v>
      </c>
      <c r="T1768" s="26">
        <v>0</v>
      </c>
    </row>
    <row r="1769" spans="2:20" s="39" customFormat="1" ht="79.5" customHeight="1">
      <c r="B1769" s="6">
        <v>1753</v>
      </c>
      <c r="C1769" s="16" t="s">
        <v>714</v>
      </c>
      <c r="D1769" s="38" t="s">
        <v>601</v>
      </c>
      <c r="E1769" s="38" t="s">
        <v>602</v>
      </c>
      <c r="F1769" s="70" t="s">
        <v>603</v>
      </c>
      <c r="G1769" s="70" t="s">
        <v>604</v>
      </c>
      <c r="H1769" s="70" t="s">
        <v>1024</v>
      </c>
      <c r="I1769" s="70" t="s">
        <v>606</v>
      </c>
      <c r="J1769" s="70" t="s">
        <v>2581</v>
      </c>
      <c r="K1769" s="6" t="s">
        <v>2580</v>
      </c>
      <c r="L1769" s="70" t="s">
        <v>595</v>
      </c>
      <c r="M1769" s="12" t="s">
        <v>918</v>
      </c>
      <c r="N1769" s="26">
        <v>1</v>
      </c>
      <c r="O1769" s="57">
        <f t="shared" si="42"/>
        <v>1908000</v>
      </c>
      <c r="P1769" s="62">
        <f t="shared" si="44"/>
        <v>1908000</v>
      </c>
      <c r="Q1769" s="6" t="s">
        <v>397</v>
      </c>
      <c r="R1769" s="6" t="s">
        <v>770</v>
      </c>
      <c r="S1769" s="38">
        <v>551610000</v>
      </c>
      <c r="T1769" s="26">
        <v>0</v>
      </c>
    </row>
    <row r="1770" spans="2:20" ht="76.5">
      <c r="B1770" s="6">
        <v>1754</v>
      </c>
      <c r="C1770" s="16" t="s">
        <v>714</v>
      </c>
      <c r="D1770" s="38" t="s">
        <v>601</v>
      </c>
      <c r="E1770" s="38" t="s">
        <v>602</v>
      </c>
      <c r="F1770" s="70" t="s">
        <v>603</v>
      </c>
      <c r="G1770" s="70" t="s">
        <v>604</v>
      </c>
      <c r="H1770" s="70" t="s">
        <v>1024</v>
      </c>
      <c r="I1770" s="70" t="s">
        <v>606</v>
      </c>
      <c r="J1770" s="70" t="s">
        <v>909</v>
      </c>
      <c r="K1770" s="6" t="s">
        <v>322</v>
      </c>
      <c r="L1770" s="70" t="s">
        <v>595</v>
      </c>
      <c r="M1770" s="12" t="s">
        <v>918</v>
      </c>
      <c r="N1770" s="26">
        <v>1</v>
      </c>
      <c r="O1770" s="57">
        <f t="shared" si="42"/>
        <v>1849421</v>
      </c>
      <c r="P1770" s="62">
        <f>1749000+100421</f>
        <v>1849421</v>
      </c>
      <c r="Q1770" s="6" t="s">
        <v>397</v>
      </c>
      <c r="R1770" s="6" t="s">
        <v>770</v>
      </c>
      <c r="S1770" s="38">
        <v>632410000</v>
      </c>
      <c r="T1770" s="26">
        <v>0</v>
      </c>
    </row>
    <row r="1771" spans="2:20" ht="76.5">
      <c r="B1771" s="6">
        <v>1755</v>
      </c>
      <c r="C1771" s="16" t="s">
        <v>714</v>
      </c>
      <c r="D1771" s="38" t="s">
        <v>601</v>
      </c>
      <c r="E1771" s="38" t="s">
        <v>602</v>
      </c>
      <c r="F1771" s="70" t="s">
        <v>603</v>
      </c>
      <c r="G1771" s="70" t="s">
        <v>604</v>
      </c>
      <c r="H1771" s="70" t="s">
        <v>1024</v>
      </c>
      <c r="I1771" s="70" t="s">
        <v>606</v>
      </c>
      <c r="J1771" s="70" t="s">
        <v>2581</v>
      </c>
      <c r="K1771" s="6" t="s">
        <v>2580</v>
      </c>
      <c r="L1771" s="70" t="s">
        <v>595</v>
      </c>
      <c r="M1771" s="12" t="s">
        <v>918</v>
      </c>
      <c r="N1771" s="26">
        <v>1</v>
      </c>
      <c r="O1771" s="57">
        <f t="shared" si="42"/>
        <v>1849421</v>
      </c>
      <c r="P1771" s="62">
        <f>1749000+100421</f>
        <v>1849421</v>
      </c>
      <c r="Q1771" s="6" t="s">
        <v>397</v>
      </c>
      <c r="R1771" s="6" t="s">
        <v>770</v>
      </c>
      <c r="S1771" s="38">
        <v>632410000</v>
      </c>
      <c r="T1771" s="26">
        <v>0</v>
      </c>
    </row>
    <row r="1772" spans="2:20" ht="76.5">
      <c r="B1772" s="6">
        <v>1756</v>
      </c>
      <c r="C1772" s="16" t="s">
        <v>714</v>
      </c>
      <c r="D1772" s="38" t="s">
        <v>601</v>
      </c>
      <c r="E1772" s="38" t="s">
        <v>602</v>
      </c>
      <c r="F1772" s="70" t="s">
        <v>603</v>
      </c>
      <c r="G1772" s="70" t="s">
        <v>604</v>
      </c>
      <c r="H1772" s="70" t="s">
        <v>1024</v>
      </c>
      <c r="I1772" s="70" t="s">
        <v>606</v>
      </c>
      <c r="J1772" s="70" t="s">
        <v>909</v>
      </c>
      <c r="K1772" s="6" t="s">
        <v>322</v>
      </c>
      <c r="L1772" s="70" t="s">
        <v>595</v>
      </c>
      <c r="M1772" s="12" t="s">
        <v>918</v>
      </c>
      <c r="N1772" s="26">
        <v>1</v>
      </c>
      <c r="O1772" s="57">
        <f t="shared" si="42"/>
        <v>1434316</v>
      </c>
      <c r="P1772" s="62">
        <f>1749000-314684</f>
        <v>1434316</v>
      </c>
      <c r="Q1772" s="6" t="s">
        <v>397</v>
      </c>
      <c r="R1772" s="6" t="s">
        <v>770</v>
      </c>
      <c r="S1772" s="16">
        <v>632210000</v>
      </c>
      <c r="T1772" s="26">
        <v>0</v>
      </c>
    </row>
    <row r="1773" spans="2:20" ht="76.5">
      <c r="B1773" s="6">
        <v>1757</v>
      </c>
      <c r="C1773" s="16" t="s">
        <v>714</v>
      </c>
      <c r="D1773" s="38" t="s">
        <v>601</v>
      </c>
      <c r="E1773" s="38" t="s">
        <v>602</v>
      </c>
      <c r="F1773" s="70" t="s">
        <v>603</v>
      </c>
      <c r="G1773" s="70" t="s">
        <v>604</v>
      </c>
      <c r="H1773" s="70" t="s">
        <v>1024</v>
      </c>
      <c r="I1773" s="70" t="s">
        <v>606</v>
      </c>
      <c r="J1773" s="70" t="s">
        <v>2581</v>
      </c>
      <c r="K1773" s="6" t="s">
        <v>2580</v>
      </c>
      <c r="L1773" s="70" t="s">
        <v>595</v>
      </c>
      <c r="M1773" s="12" t="s">
        <v>918</v>
      </c>
      <c r="N1773" s="26">
        <v>1</v>
      </c>
      <c r="O1773" s="57">
        <f t="shared" si="42"/>
        <v>1492895</v>
      </c>
      <c r="P1773" s="62">
        <f>1749000-256105</f>
        <v>1492895</v>
      </c>
      <c r="Q1773" s="6" t="s">
        <v>397</v>
      </c>
      <c r="R1773" s="6" t="s">
        <v>770</v>
      </c>
      <c r="S1773" s="16">
        <v>632210000</v>
      </c>
      <c r="T1773" s="26">
        <v>0</v>
      </c>
    </row>
    <row r="1774" spans="2:20" s="39" customFormat="1" ht="51">
      <c r="B1774" s="6">
        <v>1758</v>
      </c>
      <c r="C1774" s="36" t="s">
        <v>714</v>
      </c>
      <c r="D1774" s="43" t="s">
        <v>601</v>
      </c>
      <c r="E1774" s="38" t="s">
        <v>941</v>
      </c>
      <c r="F1774" s="70" t="s">
        <v>2213</v>
      </c>
      <c r="G1774" s="70" t="s">
        <v>942</v>
      </c>
      <c r="H1774" s="70" t="s">
        <v>2213</v>
      </c>
      <c r="I1774" s="70" t="s">
        <v>942</v>
      </c>
      <c r="J1774" s="70" t="s">
        <v>2214</v>
      </c>
      <c r="K1774" s="70" t="s">
        <v>319</v>
      </c>
      <c r="L1774" s="70" t="s">
        <v>595</v>
      </c>
      <c r="M1774" s="12" t="s">
        <v>918</v>
      </c>
      <c r="N1774" s="26">
        <v>1</v>
      </c>
      <c r="O1774" s="57">
        <v>1800000</v>
      </c>
      <c r="P1774" s="62">
        <f t="shared" ref="P1774:P1837" si="45">N1774*O1774</f>
        <v>1800000</v>
      </c>
      <c r="Q1774" s="6" t="s">
        <v>397</v>
      </c>
      <c r="R1774" s="6" t="s">
        <v>770</v>
      </c>
      <c r="S1774" s="38">
        <v>551000000</v>
      </c>
      <c r="T1774" s="26">
        <v>0</v>
      </c>
    </row>
    <row r="1775" spans="2:20" s="39" customFormat="1" ht="76.5">
      <c r="B1775" s="6">
        <v>1759</v>
      </c>
      <c r="C1775" s="36" t="s">
        <v>714</v>
      </c>
      <c r="D1775" s="6" t="s">
        <v>601</v>
      </c>
      <c r="E1775" s="38" t="s">
        <v>602</v>
      </c>
      <c r="F1775" s="70" t="s">
        <v>603</v>
      </c>
      <c r="G1775" s="70" t="s">
        <v>786</v>
      </c>
      <c r="H1775" s="70" t="s">
        <v>605</v>
      </c>
      <c r="I1775" s="70" t="s">
        <v>606</v>
      </c>
      <c r="J1775" s="70" t="s">
        <v>787</v>
      </c>
      <c r="K1775" s="70" t="s">
        <v>320</v>
      </c>
      <c r="L1775" s="70" t="s">
        <v>595</v>
      </c>
      <c r="M1775" s="12" t="s">
        <v>918</v>
      </c>
      <c r="N1775" s="26">
        <v>1</v>
      </c>
      <c r="O1775" s="57">
        <v>1800000</v>
      </c>
      <c r="P1775" s="62">
        <f t="shared" si="45"/>
        <v>1800000</v>
      </c>
      <c r="Q1775" s="6" t="s">
        <v>397</v>
      </c>
      <c r="R1775" s="6" t="s">
        <v>770</v>
      </c>
      <c r="S1775" s="38">
        <v>551000000</v>
      </c>
      <c r="T1775" s="49">
        <v>0</v>
      </c>
    </row>
    <row r="1776" spans="2:20" s="39" customFormat="1" ht="76.5">
      <c r="B1776" s="6">
        <v>1760</v>
      </c>
      <c r="C1776" s="36" t="s">
        <v>714</v>
      </c>
      <c r="D1776" s="6" t="s">
        <v>601</v>
      </c>
      <c r="E1776" s="38" t="s">
        <v>602</v>
      </c>
      <c r="F1776" s="70" t="s">
        <v>603</v>
      </c>
      <c r="G1776" s="70" t="s">
        <v>786</v>
      </c>
      <c r="H1776" s="70" t="s">
        <v>605</v>
      </c>
      <c r="I1776" s="70" t="s">
        <v>606</v>
      </c>
      <c r="J1776" s="70" t="s">
        <v>788</v>
      </c>
      <c r="K1776" s="70" t="s">
        <v>321</v>
      </c>
      <c r="L1776" s="70" t="s">
        <v>595</v>
      </c>
      <c r="M1776" s="12" t="s">
        <v>918</v>
      </c>
      <c r="N1776" s="26">
        <v>1</v>
      </c>
      <c r="O1776" s="57">
        <v>1800000</v>
      </c>
      <c r="P1776" s="62">
        <f t="shared" si="45"/>
        <v>1800000</v>
      </c>
      <c r="Q1776" s="6" t="s">
        <v>397</v>
      </c>
      <c r="R1776" s="6" t="s">
        <v>770</v>
      </c>
      <c r="S1776" s="38">
        <v>551000000</v>
      </c>
      <c r="T1776" s="49">
        <v>0</v>
      </c>
    </row>
    <row r="1777" spans="1:20" s="39" customFormat="1" ht="76.5">
      <c r="B1777" s="6">
        <v>1761</v>
      </c>
      <c r="C1777" s="36" t="s">
        <v>714</v>
      </c>
      <c r="D1777" s="52" t="s">
        <v>601</v>
      </c>
      <c r="E1777" s="38" t="s">
        <v>602</v>
      </c>
      <c r="F1777" s="70" t="s">
        <v>603</v>
      </c>
      <c r="G1777" s="70" t="s">
        <v>786</v>
      </c>
      <c r="H1777" s="70" t="s">
        <v>605</v>
      </c>
      <c r="I1777" s="70" t="s">
        <v>606</v>
      </c>
      <c r="J1777" s="70" t="s">
        <v>909</v>
      </c>
      <c r="K1777" s="70" t="s">
        <v>322</v>
      </c>
      <c r="L1777" s="70" t="s">
        <v>595</v>
      </c>
      <c r="M1777" s="12" t="s">
        <v>918</v>
      </c>
      <c r="N1777" s="26">
        <v>1</v>
      </c>
      <c r="O1777" s="57">
        <v>1800000</v>
      </c>
      <c r="P1777" s="62">
        <f t="shared" si="45"/>
        <v>1800000</v>
      </c>
      <c r="Q1777" s="6" t="s">
        <v>397</v>
      </c>
      <c r="R1777" s="6" t="s">
        <v>770</v>
      </c>
      <c r="S1777" s="38">
        <v>551000000</v>
      </c>
      <c r="T1777" s="49">
        <v>0</v>
      </c>
    </row>
    <row r="1778" spans="1:20" s="39" customFormat="1" ht="81.75" customHeight="1">
      <c r="B1778" s="6">
        <v>1762</v>
      </c>
      <c r="C1778" s="16" t="s">
        <v>714</v>
      </c>
      <c r="D1778" s="38" t="s">
        <v>601</v>
      </c>
      <c r="E1778" s="38" t="s">
        <v>602</v>
      </c>
      <c r="F1778" s="70" t="s">
        <v>603</v>
      </c>
      <c r="G1778" s="70" t="s">
        <v>910</v>
      </c>
      <c r="H1778" s="70" t="s">
        <v>605</v>
      </c>
      <c r="I1778" s="70" t="s">
        <v>606</v>
      </c>
      <c r="J1778" s="70" t="s">
        <v>911</v>
      </c>
      <c r="K1778" s="70" t="s">
        <v>912</v>
      </c>
      <c r="L1778" s="70" t="s">
        <v>595</v>
      </c>
      <c r="M1778" s="12" t="s">
        <v>918</v>
      </c>
      <c r="N1778" s="26">
        <v>1</v>
      </c>
      <c r="O1778" s="57">
        <v>1800000</v>
      </c>
      <c r="P1778" s="62">
        <f t="shared" si="45"/>
        <v>1800000</v>
      </c>
      <c r="Q1778" s="6" t="s">
        <v>397</v>
      </c>
      <c r="R1778" s="6" t="s">
        <v>770</v>
      </c>
      <c r="S1778" s="38">
        <v>551000000</v>
      </c>
      <c r="T1778" s="49">
        <v>0</v>
      </c>
    </row>
    <row r="1779" spans="1:20" ht="51">
      <c r="B1779" s="6">
        <v>1763</v>
      </c>
      <c r="C1779" s="36" t="s">
        <v>714</v>
      </c>
      <c r="D1779" s="43" t="s">
        <v>601</v>
      </c>
      <c r="E1779" s="38" t="s">
        <v>941</v>
      </c>
      <c r="F1779" s="70" t="s">
        <v>2213</v>
      </c>
      <c r="G1779" s="70" t="s">
        <v>942</v>
      </c>
      <c r="H1779" s="70" t="s">
        <v>2213</v>
      </c>
      <c r="I1779" s="70" t="s">
        <v>942</v>
      </c>
      <c r="J1779" s="70" t="s">
        <v>2214</v>
      </c>
      <c r="K1779" s="70" t="s">
        <v>319</v>
      </c>
      <c r="L1779" s="70" t="s">
        <v>595</v>
      </c>
      <c r="M1779" s="12" t="s">
        <v>918</v>
      </c>
      <c r="N1779" s="26">
        <v>1</v>
      </c>
      <c r="O1779" s="57">
        <v>1800000</v>
      </c>
      <c r="P1779" s="62">
        <f t="shared" si="45"/>
        <v>1800000</v>
      </c>
      <c r="Q1779" s="6" t="s">
        <v>397</v>
      </c>
      <c r="R1779" s="6" t="s">
        <v>770</v>
      </c>
      <c r="S1779" s="38" t="s">
        <v>637</v>
      </c>
      <c r="T1779" s="26">
        <v>0</v>
      </c>
    </row>
    <row r="1780" spans="1:20" ht="76.5">
      <c r="B1780" s="6">
        <v>1764</v>
      </c>
      <c r="C1780" s="36" t="s">
        <v>714</v>
      </c>
      <c r="D1780" s="6" t="s">
        <v>601</v>
      </c>
      <c r="E1780" s="38" t="s">
        <v>602</v>
      </c>
      <c r="F1780" s="70" t="s">
        <v>603</v>
      </c>
      <c r="G1780" s="70" t="s">
        <v>786</v>
      </c>
      <c r="H1780" s="70" t="s">
        <v>605</v>
      </c>
      <c r="I1780" s="70" t="s">
        <v>606</v>
      </c>
      <c r="J1780" s="70" t="s">
        <v>787</v>
      </c>
      <c r="K1780" s="70" t="s">
        <v>320</v>
      </c>
      <c r="L1780" s="70" t="s">
        <v>595</v>
      </c>
      <c r="M1780" s="12" t="s">
        <v>918</v>
      </c>
      <c r="N1780" s="26">
        <v>1</v>
      </c>
      <c r="O1780" s="57">
        <v>1800000</v>
      </c>
      <c r="P1780" s="62">
        <f t="shared" si="45"/>
        <v>1800000</v>
      </c>
      <c r="Q1780" s="6" t="s">
        <v>397</v>
      </c>
      <c r="R1780" s="6" t="s">
        <v>770</v>
      </c>
      <c r="S1780" s="38" t="s">
        <v>637</v>
      </c>
      <c r="T1780" s="26">
        <v>0</v>
      </c>
    </row>
    <row r="1781" spans="1:20" ht="76.5">
      <c r="B1781" s="6">
        <v>1765</v>
      </c>
      <c r="C1781" s="36" t="s">
        <v>714</v>
      </c>
      <c r="D1781" s="6" t="s">
        <v>601</v>
      </c>
      <c r="E1781" s="38" t="s">
        <v>602</v>
      </c>
      <c r="F1781" s="70" t="s">
        <v>603</v>
      </c>
      <c r="G1781" s="70" t="s">
        <v>786</v>
      </c>
      <c r="H1781" s="70" t="s">
        <v>605</v>
      </c>
      <c r="I1781" s="70" t="s">
        <v>606</v>
      </c>
      <c r="J1781" s="70" t="s">
        <v>788</v>
      </c>
      <c r="K1781" s="70" t="s">
        <v>321</v>
      </c>
      <c r="L1781" s="70" t="s">
        <v>595</v>
      </c>
      <c r="M1781" s="12" t="s">
        <v>918</v>
      </c>
      <c r="N1781" s="26">
        <v>1</v>
      </c>
      <c r="O1781" s="57">
        <v>1800000</v>
      </c>
      <c r="P1781" s="62">
        <f t="shared" si="45"/>
        <v>1800000</v>
      </c>
      <c r="Q1781" s="6" t="s">
        <v>397</v>
      </c>
      <c r="R1781" s="6" t="s">
        <v>770</v>
      </c>
      <c r="S1781" s="38" t="s">
        <v>637</v>
      </c>
      <c r="T1781" s="26">
        <v>0</v>
      </c>
    </row>
    <row r="1782" spans="1:20" ht="76.5">
      <c r="B1782" s="6">
        <v>1766</v>
      </c>
      <c r="C1782" s="36" t="s">
        <v>714</v>
      </c>
      <c r="D1782" s="52" t="s">
        <v>601</v>
      </c>
      <c r="E1782" s="38" t="s">
        <v>602</v>
      </c>
      <c r="F1782" s="70" t="s">
        <v>603</v>
      </c>
      <c r="G1782" s="70" t="s">
        <v>786</v>
      </c>
      <c r="H1782" s="70" t="s">
        <v>605</v>
      </c>
      <c r="I1782" s="70" t="s">
        <v>606</v>
      </c>
      <c r="J1782" s="70" t="s">
        <v>909</v>
      </c>
      <c r="K1782" s="70" t="s">
        <v>322</v>
      </c>
      <c r="L1782" s="70" t="s">
        <v>595</v>
      </c>
      <c r="M1782" s="12" t="s">
        <v>918</v>
      </c>
      <c r="N1782" s="26">
        <v>1</v>
      </c>
      <c r="O1782" s="57">
        <v>1800000</v>
      </c>
      <c r="P1782" s="62">
        <f t="shared" si="45"/>
        <v>1800000</v>
      </c>
      <c r="Q1782" s="6" t="s">
        <v>397</v>
      </c>
      <c r="R1782" s="6" t="s">
        <v>770</v>
      </c>
      <c r="S1782" s="38" t="s">
        <v>637</v>
      </c>
      <c r="T1782" s="26">
        <v>0</v>
      </c>
    </row>
    <row r="1783" spans="1:20" ht="63.75">
      <c r="B1783" s="6">
        <v>1767</v>
      </c>
      <c r="C1783" s="16" t="s">
        <v>714</v>
      </c>
      <c r="D1783" s="38" t="s">
        <v>601</v>
      </c>
      <c r="E1783" s="38" t="s">
        <v>602</v>
      </c>
      <c r="F1783" s="70" t="s">
        <v>2209</v>
      </c>
      <c r="G1783" s="70" t="s">
        <v>604</v>
      </c>
      <c r="H1783" s="70" t="s">
        <v>2207</v>
      </c>
      <c r="I1783" s="70" t="s">
        <v>606</v>
      </c>
      <c r="J1783" s="70" t="s">
        <v>2208</v>
      </c>
      <c r="K1783" s="70" t="s">
        <v>323</v>
      </c>
      <c r="L1783" s="70" t="s">
        <v>595</v>
      </c>
      <c r="M1783" s="12" t="s">
        <v>918</v>
      </c>
      <c r="N1783" s="26">
        <v>1</v>
      </c>
      <c r="O1783" s="57">
        <v>1800000</v>
      </c>
      <c r="P1783" s="62">
        <f t="shared" si="45"/>
        <v>1800000</v>
      </c>
      <c r="Q1783" s="6" t="s">
        <v>397</v>
      </c>
      <c r="R1783" s="6" t="s">
        <v>770</v>
      </c>
      <c r="S1783" s="38" t="s">
        <v>637</v>
      </c>
      <c r="T1783" s="26">
        <v>0</v>
      </c>
    </row>
    <row r="1784" spans="1:20" ht="51">
      <c r="B1784" s="6">
        <v>1768</v>
      </c>
      <c r="C1784" s="36" t="s">
        <v>714</v>
      </c>
      <c r="D1784" s="43" t="s">
        <v>601</v>
      </c>
      <c r="E1784" s="38" t="s">
        <v>941</v>
      </c>
      <c r="F1784" s="70" t="s">
        <v>2213</v>
      </c>
      <c r="G1784" s="70" t="s">
        <v>942</v>
      </c>
      <c r="H1784" s="70" t="s">
        <v>2213</v>
      </c>
      <c r="I1784" s="70" t="s">
        <v>942</v>
      </c>
      <c r="J1784" s="70" t="s">
        <v>2214</v>
      </c>
      <c r="K1784" s="70" t="s">
        <v>319</v>
      </c>
      <c r="L1784" s="70" t="s">
        <v>595</v>
      </c>
      <c r="M1784" s="12" t="s">
        <v>918</v>
      </c>
      <c r="N1784" s="26">
        <v>1</v>
      </c>
      <c r="O1784" s="57">
        <v>1800000</v>
      </c>
      <c r="P1784" s="62">
        <f t="shared" si="45"/>
        <v>1800000</v>
      </c>
      <c r="Q1784" s="6" t="s">
        <v>397</v>
      </c>
      <c r="R1784" s="6" t="s">
        <v>770</v>
      </c>
      <c r="S1784" s="38" t="s">
        <v>698</v>
      </c>
      <c r="T1784" s="26">
        <v>0</v>
      </c>
    </row>
    <row r="1785" spans="1:20" ht="76.5">
      <c r="B1785" s="6">
        <v>1769</v>
      </c>
      <c r="C1785" s="36" t="s">
        <v>714</v>
      </c>
      <c r="D1785" s="6" t="s">
        <v>601</v>
      </c>
      <c r="E1785" s="38" t="s">
        <v>602</v>
      </c>
      <c r="F1785" s="70" t="s">
        <v>603</v>
      </c>
      <c r="G1785" s="70" t="s">
        <v>786</v>
      </c>
      <c r="H1785" s="70" t="s">
        <v>605</v>
      </c>
      <c r="I1785" s="70" t="s">
        <v>606</v>
      </c>
      <c r="J1785" s="70" t="s">
        <v>787</v>
      </c>
      <c r="K1785" s="70" t="s">
        <v>320</v>
      </c>
      <c r="L1785" s="70" t="s">
        <v>595</v>
      </c>
      <c r="M1785" s="12" t="s">
        <v>918</v>
      </c>
      <c r="N1785" s="26">
        <v>1</v>
      </c>
      <c r="O1785" s="57">
        <v>1800000</v>
      </c>
      <c r="P1785" s="62">
        <f t="shared" si="45"/>
        <v>1800000</v>
      </c>
      <c r="Q1785" s="6" t="s">
        <v>397</v>
      </c>
      <c r="R1785" s="6" t="s">
        <v>770</v>
      </c>
      <c r="S1785" s="38" t="s">
        <v>698</v>
      </c>
      <c r="T1785" s="26">
        <v>0</v>
      </c>
    </row>
    <row r="1786" spans="1:20" ht="76.5">
      <c r="B1786" s="6">
        <v>1770</v>
      </c>
      <c r="C1786" s="36" t="s">
        <v>714</v>
      </c>
      <c r="D1786" s="6" t="s">
        <v>601</v>
      </c>
      <c r="E1786" s="38" t="s">
        <v>602</v>
      </c>
      <c r="F1786" s="70" t="s">
        <v>603</v>
      </c>
      <c r="G1786" s="70" t="s">
        <v>786</v>
      </c>
      <c r="H1786" s="70" t="s">
        <v>605</v>
      </c>
      <c r="I1786" s="70" t="s">
        <v>606</v>
      </c>
      <c r="J1786" s="70" t="s">
        <v>788</v>
      </c>
      <c r="K1786" s="70" t="s">
        <v>321</v>
      </c>
      <c r="L1786" s="70" t="s">
        <v>595</v>
      </c>
      <c r="M1786" s="12" t="s">
        <v>918</v>
      </c>
      <c r="N1786" s="26">
        <v>1</v>
      </c>
      <c r="O1786" s="57">
        <v>1800000</v>
      </c>
      <c r="P1786" s="62">
        <f t="shared" si="45"/>
        <v>1800000</v>
      </c>
      <c r="Q1786" s="6" t="s">
        <v>397</v>
      </c>
      <c r="R1786" s="6" t="s">
        <v>770</v>
      </c>
      <c r="S1786" s="38" t="s">
        <v>698</v>
      </c>
      <c r="T1786" s="26">
        <v>0</v>
      </c>
    </row>
    <row r="1787" spans="1:20" ht="76.5">
      <c r="B1787" s="6">
        <v>1771</v>
      </c>
      <c r="C1787" s="16" t="s">
        <v>714</v>
      </c>
      <c r="D1787" s="38" t="s">
        <v>601</v>
      </c>
      <c r="E1787" s="38" t="s">
        <v>602</v>
      </c>
      <c r="F1787" s="70" t="s">
        <v>603</v>
      </c>
      <c r="G1787" s="70" t="s">
        <v>786</v>
      </c>
      <c r="H1787" s="70" t="s">
        <v>605</v>
      </c>
      <c r="I1787" s="70" t="s">
        <v>606</v>
      </c>
      <c r="J1787" s="70" t="s">
        <v>2216</v>
      </c>
      <c r="K1787" s="70" t="s">
        <v>324</v>
      </c>
      <c r="L1787" s="70" t="s">
        <v>595</v>
      </c>
      <c r="M1787" s="12" t="s">
        <v>918</v>
      </c>
      <c r="N1787" s="26">
        <v>1</v>
      </c>
      <c r="O1787" s="57">
        <v>1800000</v>
      </c>
      <c r="P1787" s="62">
        <f t="shared" si="45"/>
        <v>1800000</v>
      </c>
      <c r="Q1787" s="6" t="s">
        <v>397</v>
      </c>
      <c r="R1787" s="6" t="s">
        <v>770</v>
      </c>
      <c r="S1787" s="38" t="s">
        <v>698</v>
      </c>
      <c r="T1787" s="26">
        <v>0</v>
      </c>
    </row>
    <row r="1788" spans="1:20" ht="76.5">
      <c r="B1788" s="6">
        <v>1772</v>
      </c>
      <c r="C1788" s="36" t="s">
        <v>714</v>
      </c>
      <c r="D1788" s="52" t="s">
        <v>601</v>
      </c>
      <c r="E1788" s="38" t="s">
        <v>602</v>
      </c>
      <c r="F1788" s="70" t="s">
        <v>603</v>
      </c>
      <c r="G1788" s="70" t="s">
        <v>786</v>
      </c>
      <c r="H1788" s="70" t="s">
        <v>605</v>
      </c>
      <c r="I1788" s="70" t="s">
        <v>606</v>
      </c>
      <c r="J1788" s="70" t="s">
        <v>909</v>
      </c>
      <c r="K1788" s="70" t="s">
        <v>322</v>
      </c>
      <c r="L1788" s="70" t="s">
        <v>595</v>
      </c>
      <c r="M1788" s="12" t="s">
        <v>918</v>
      </c>
      <c r="N1788" s="26">
        <v>1</v>
      </c>
      <c r="O1788" s="57">
        <v>1800000</v>
      </c>
      <c r="P1788" s="62">
        <f t="shared" si="45"/>
        <v>1800000</v>
      </c>
      <c r="Q1788" s="6" t="s">
        <v>397</v>
      </c>
      <c r="R1788" s="6" t="s">
        <v>770</v>
      </c>
      <c r="S1788" s="38" t="s">
        <v>698</v>
      </c>
      <c r="T1788" s="26">
        <v>0</v>
      </c>
    </row>
    <row r="1789" spans="1:20" s="14" customFormat="1" ht="51">
      <c r="A1789" s="2"/>
      <c r="B1789" s="6">
        <v>1773</v>
      </c>
      <c r="C1789" s="36" t="s">
        <v>714</v>
      </c>
      <c r="D1789" s="43" t="s">
        <v>601</v>
      </c>
      <c r="E1789" s="38" t="s">
        <v>941</v>
      </c>
      <c r="F1789" s="70" t="s">
        <v>2213</v>
      </c>
      <c r="G1789" s="70" t="s">
        <v>942</v>
      </c>
      <c r="H1789" s="70" t="s">
        <v>2213</v>
      </c>
      <c r="I1789" s="70" t="s">
        <v>942</v>
      </c>
      <c r="J1789" s="70" t="s">
        <v>2214</v>
      </c>
      <c r="K1789" s="70" t="s">
        <v>319</v>
      </c>
      <c r="L1789" s="70" t="s">
        <v>595</v>
      </c>
      <c r="M1789" s="12" t="s">
        <v>918</v>
      </c>
      <c r="N1789" s="26">
        <v>1</v>
      </c>
      <c r="O1789" s="57">
        <v>1800000</v>
      </c>
      <c r="P1789" s="62">
        <f t="shared" si="45"/>
        <v>1800000</v>
      </c>
      <c r="Q1789" s="6" t="s">
        <v>397</v>
      </c>
      <c r="R1789" s="6" t="s">
        <v>770</v>
      </c>
      <c r="S1789" s="38">
        <v>351000000</v>
      </c>
      <c r="T1789" s="26">
        <v>0</v>
      </c>
    </row>
    <row r="1790" spans="1:20" s="14" customFormat="1" ht="76.5">
      <c r="A1790" s="2"/>
      <c r="B1790" s="6">
        <v>1774</v>
      </c>
      <c r="C1790" s="36" t="s">
        <v>714</v>
      </c>
      <c r="D1790" s="6" t="s">
        <v>601</v>
      </c>
      <c r="E1790" s="38" t="s">
        <v>602</v>
      </c>
      <c r="F1790" s="70" t="s">
        <v>603</v>
      </c>
      <c r="G1790" s="70" t="s">
        <v>786</v>
      </c>
      <c r="H1790" s="70" t="s">
        <v>605</v>
      </c>
      <c r="I1790" s="70" t="s">
        <v>606</v>
      </c>
      <c r="J1790" s="70" t="s">
        <v>787</v>
      </c>
      <c r="K1790" s="70" t="s">
        <v>320</v>
      </c>
      <c r="L1790" s="70" t="s">
        <v>595</v>
      </c>
      <c r="M1790" s="12" t="s">
        <v>918</v>
      </c>
      <c r="N1790" s="26">
        <v>1</v>
      </c>
      <c r="O1790" s="57">
        <v>1800000</v>
      </c>
      <c r="P1790" s="62">
        <f t="shared" si="45"/>
        <v>1800000</v>
      </c>
      <c r="Q1790" s="6" t="s">
        <v>397</v>
      </c>
      <c r="R1790" s="6" t="s">
        <v>770</v>
      </c>
      <c r="S1790" s="38">
        <v>351000000</v>
      </c>
      <c r="T1790" s="26">
        <v>0</v>
      </c>
    </row>
    <row r="1791" spans="1:20" s="14" customFormat="1" ht="76.5">
      <c r="A1791" s="2"/>
      <c r="B1791" s="6">
        <v>1775</v>
      </c>
      <c r="C1791" s="36" t="s">
        <v>714</v>
      </c>
      <c r="D1791" s="6" t="s">
        <v>601</v>
      </c>
      <c r="E1791" s="38" t="s">
        <v>602</v>
      </c>
      <c r="F1791" s="70" t="s">
        <v>603</v>
      </c>
      <c r="G1791" s="70" t="s">
        <v>786</v>
      </c>
      <c r="H1791" s="70" t="s">
        <v>605</v>
      </c>
      <c r="I1791" s="70" t="s">
        <v>606</v>
      </c>
      <c r="J1791" s="70" t="s">
        <v>788</v>
      </c>
      <c r="K1791" s="70" t="s">
        <v>321</v>
      </c>
      <c r="L1791" s="70" t="s">
        <v>595</v>
      </c>
      <c r="M1791" s="12" t="s">
        <v>918</v>
      </c>
      <c r="N1791" s="26">
        <v>1</v>
      </c>
      <c r="O1791" s="57">
        <v>1800000</v>
      </c>
      <c r="P1791" s="62">
        <f t="shared" si="45"/>
        <v>1800000</v>
      </c>
      <c r="Q1791" s="6" t="s">
        <v>397</v>
      </c>
      <c r="R1791" s="6" t="s">
        <v>770</v>
      </c>
      <c r="S1791" s="38">
        <v>351000000</v>
      </c>
      <c r="T1791" s="26">
        <v>0</v>
      </c>
    </row>
    <row r="1792" spans="1:20" s="14" customFormat="1" ht="76.5">
      <c r="A1792" s="2"/>
      <c r="B1792" s="6">
        <v>1776</v>
      </c>
      <c r="C1792" s="16" t="s">
        <v>714</v>
      </c>
      <c r="D1792" s="38" t="s">
        <v>601</v>
      </c>
      <c r="E1792" s="38" t="s">
        <v>602</v>
      </c>
      <c r="F1792" s="70" t="s">
        <v>603</v>
      </c>
      <c r="G1792" s="70" t="s">
        <v>786</v>
      </c>
      <c r="H1792" s="70" t="s">
        <v>605</v>
      </c>
      <c r="I1792" s="70" t="s">
        <v>606</v>
      </c>
      <c r="J1792" s="70" t="s">
        <v>2218</v>
      </c>
      <c r="K1792" s="70" t="s">
        <v>325</v>
      </c>
      <c r="L1792" s="70" t="s">
        <v>595</v>
      </c>
      <c r="M1792" s="12" t="s">
        <v>918</v>
      </c>
      <c r="N1792" s="26">
        <v>1</v>
      </c>
      <c r="O1792" s="57">
        <v>1800000</v>
      </c>
      <c r="P1792" s="62">
        <f t="shared" si="45"/>
        <v>1800000</v>
      </c>
      <c r="Q1792" s="6" t="s">
        <v>397</v>
      </c>
      <c r="R1792" s="6" t="s">
        <v>770</v>
      </c>
      <c r="S1792" s="38">
        <v>351000000</v>
      </c>
      <c r="T1792" s="26">
        <v>0</v>
      </c>
    </row>
    <row r="1793" spans="1:20" s="14" customFormat="1" ht="76.5">
      <c r="A1793" s="2"/>
      <c r="B1793" s="6">
        <v>1777</v>
      </c>
      <c r="C1793" s="36" t="s">
        <v>714</v>
      </c>
      <c r="D1793" s="52" t="s">
        <v>601</v>
      </c>
      <c r="E1793" s="38" t="s">
        <v>602</v>
      </c>
      <c r="F1793" s="70" t="s">
        <v>603</v>
      </c>
      <c r="G1793" s="70" t="s">
        <v>786</v>
      </c>
      <c r="H1793" s="70" t="s">
        <v>605</v>
      </c>
      <c r="I1793" s="70" t="s">
        <v>606</v>
      </c>
      <c r="J1793" s="70" t="s">
        <v>909</v>
      </c>
      <c r="K1793" s="70" t="s">
        <v>322</v>
      </c>
      <c r="L1793" s="70" t="s">
        <v>595</v>
      </c>
      <c r="M1793" s="12" t="s">
        <v>918</v>
      </c>
      <c r="N1793" s="26">
        <v>1</v>
      </c>
      <c r="O1793" s="57">
        <v>1800000</v>
      </c>
      <c r="P1793" s="62">
        <f t="shared" si="45"/>
        <v>1800000</v>
      </c>
      <c r="Q1793" s="6" t="s">
        <v>397</v>
      </c>
      <c r="R1793" s="6" t="s">
        <v>770</v>
      </c>
      <c r="S1793" s="38">
        <v>351000000</v>
      </c>
      <c r="T1793" s="26">
        <v>0</v>
      </c>
    </row>
    <row r="1794" spans="1:20" s="14" customFormat="1" ht="51">
      <c r="A1794" s="2"/>
      <c r="B1794" s="6">
        <v>1778</v>
      </c>
      <c r="C1794" s="36" t="s">
        <v>714</v>
      </c>
      <c r="D1794" s="43" t="s">
        <v>601</v>
      </c>
      <c r="E1794" s="38" t="s">
        <v>941</v>
      </c>
      <c r="F1794" s="70" t="s">
        <v>2213</v>
      </c>
      <c r="G1794" s="70" t="s">
        <v>942</v>
      </c>
      <c r="H1794" s="70" t="s">
        <v>2213</v>
      </c>
      <c r="I1794" s="70" t="s">
        <v>942</v>
      </c>
      <c r="J1794" s="70" t="s">
        <v>2214</v>
      </c>
      <c r="K1794" s="70" t="s">
        <v>319</v>
      </c>
      <c r="L1794" s="70" t="s">
        <v>595</v>
      </c>
      <c r="M1794" s="12" t="s">
        <v>918</v>
      </c>
      <c r="N1794" s="26">
        <v>1</v>
      </c>
      <c r="O1794" s="57">
        <v>1800000</v>
      </c>
      <c r="P1794" s="62">
        <f t="shared" si="45"/>
        <v>1800000</v>
      </c>
      <c r="Q1794" s="6" t="s">
        <v>397</v>
      </c>
      <c r="R1794" s="6" t="s">
        <v>770</v>
      </c>
      <c r="S1794" s="38" t="s">
        <v>2037</v>
      </c>
      <c r="T1794" s="6">
        <v>0</v>
      </c>
    </row>
    <row r="1795" spans="1:20" s="14" customFormat="1" ht="76.5">
      <c r="A1795" s="2"/>
      <c r="B1795" s="6">
        <v>1779</v>
      </c>
      <c r="C1795" s="36" t="s">
        <v>714</v>
      </c>
      <c r="D1795" s="6" t="s">
        <v>601</v>
      </c>
      <c r="E1795" s="38" t="s">
        <v>602</v>
      </c>
      <c r="F1795" s="70" t="s">
        <v>603</v>
      </c>
      <c r="G1795" s="70" t="s">
        <v>786</v>
      </c>
      <c r="H1795" s="70" t="s">
        <v>605</v>
      </c>
      <c r="I1795" s="70" t="s">
        <v>606</v>
      </c>
      <c r="J1795" s="70" t="s">
        <v>787</v>
      </c>
      <c r="K1795" s="70" t="s">
        <v>320</v>
      </c>
      <c r="L1795" s="70" t="s">
        <v>595</v>
      </c>
      <c r="M1795" s="12" t="s">
        <v>918</v>
      </c>
      <c r="N1795" s="26">
        <v>1</v>
      </c>
      <c r="O1795" s="57">
        <v>1800000</v>
      </c>
      <c r="P1795" s="62">
        <f t="shared" si="45"/>
        <v>1800000</v>
      </c>
      <c r="Q1795" s="6" t="s">
        <v>397</v>
      </c>
      <c r="R1795" s="6" t="s">
        <v>770</v>
      </c>
      <c r="S1795" s="38" t="s">
        <v>2037</v>
      </c>
      <c r="T1795" s="6">
        <v>0</v>
      </c>
    </row>
    <row r="1796" spans="1:20" s="14" customFormat="1" ht="76.5">
      <c r="A1796" s="2"/>
      <c r="B1796" s="6">
        <v>1780</v>
      </c>
      <c r="C1796" s="36" t="s">
        <v>714</v>
      </c>
      <c r="D1796" s="6" t="s">
        <v>601</v>
      </c>
      <c r="E1796" s="38" t="s">
        <v>602</v>
      </c>
      <c r="F1796" s="70" t="s">
        <v>603</v>
      </c>
      <c r="G1796" s="70" t="s">
        <v>786</v>
      </c>
      <c r="H1796" s="70" t="s">
        <v>605</v>
      </c>
      <c r="I1796" s="70" t="s">
        <v>606</v>
      </c>
      <c r="J1796" s="70" t="s">
        <v>788</v>
      </c>
      <c r="K1796" s="70" t="s">
        <v>321</v>
      </c>
      <c r="L1796" s="70" t="s">
        <v>595</v>
      </c>
      <c r="M1796" s="12" t="s">
        <v>918</v>
      </c>
      <c r="N1796" s="26">
        <v>1</v>
      </c>
      <c r="O1796" s="57">
        <v>1800000</v>
      </c>
      <c r="P1796" s="62">
        <f t="shared" si="45"/>
        <v>1800000</v>
      </c>
      <c r="Q1796" s="6" t="s">
        <v>397</v>
      </c>
      <c r="R1796" s="6" t="s">
        <v>770</v>
      </c>
      <c r="S1796" s="38" t="s">
        <v>2037</v>
      </c>
      <c r="T1796" s="6">
        <v>0</v>
      </c>
    </row>
    <row r="1797" spans="1:20" s="14" customFormat="1" ht="76.5">
      <c r="A1797" s="2"/>
      <c r="B1797" s="6">
        <v>1781</v>
      </c>
      <c r="C1797" s="36" t="s">
        <v>714</v>
      </c>
      <c r="D1797" s="52" t="s">
        <v>601</v>
      </c>
      <c r="E1797" s="38" t="s">
        <v>602</v>
      </c>
      <c r="F1797" s="70" t="s">
        <v>603</v>
      </c>
      <c r="G1797" s="70" t="s">
        <v>786</v>
      </c>
      <c r="H1797" s="70" t="s">
        <v>605</v>
      </c>
      <c r="I1797" s="70" t="s">
        <v>606</v>
      </c>
      <c r="J1797" s="70" t="s">
        <v>909</v>
      </c>
      <c r="K1797" s="70" t="s">
        <v>322</v>
      </c>
      <c r="L1797" s="70" t="s">
        <v>595</v>
      </c>
      <c r="M1797" s="12" t="s">
        <v>918</v>
      </c>
      <c r="N1797" s="26">
        <v>1</v>
      </c>
      <c r="O1797" s="57">
        <v>1800000</v>
      </c>
      <c r="P1797" s="62">
        <f t="shared" si="45"/>
        <v>1800000</v>
      </c>
      <c r="Q1797" s="6" t="s">
        <v>397</v>
      </c>
      <c r="R1797" s="6" t="s">
        <v>770</v>
      </c>
      <c r="S1797" s="38" t="s">
        <v>2037</v>
      </c>
      <c r="T1797" s="6">
        <v>0</v>
      </c>
    </row>
    <row r="1798" spans="1:20" s="14" customFormat="1" ht="63.75">
      <c r="A1798" s="2"/>
      <c r="B1798" s="6">
        <v>1782</v>
      </c>
      <c r="C1798" s="16" t="s">
        <v>714</v>
      </c>
      <c r="D1798" s="38" t="s">
        <v>601</v>
      </c>
      <c r="E1798" s="38" t="s">
        <v>602</v>
      </c>
      <c r="F1798" s="70" t="s">
        <v>2206</v>
      </c>
      <c r="G1798" s="70" t="s">
        <v>604</v>
      </c>
      <c r="H1798" s="70" t="s">
        <v>2207</v>
      </c>
      <c r="I1798" s="70" t="s">
        <v>606</v>
      </c>
      <c r="J1798" s="70" t="s">
        <v>2212</v>
      </c>
      <c r="K1798" s="70" t="s">
        <v>326</v>
      </c>
      <c r="L1798" s="70" t="s">
        <v>595</v>
      </c>
      <c r="M1798" s="12" t="s">
        <v>918</v>
      </c>
      <c r="N1798" s="26">
        <v>1</v>
      </c>
      <c r="O1798" s="57">
        <v>1800000</v>
      </c>
      <c r="P1798" s="62">
        <f t="shared" si="45"/>
        <v>1800000</v>
      </c>
      <c r="Q1798" s="6" t="s">
        <v>397</v>
      </c>
      <c r="R1798" s="6" t="s">
        <v>770</v>
      </c>
      <c r="S1798" s="38" t="s">
        <v>2037</v>
      </c>
      <c r="T1798" s="6">
        <v>0</v>
      </c>
    </row>
    <row r="1799" spans="1:20" s="14" customFormat="1" ht="51">
      <c r="A1799" s="2"/>
      <c r="B1799" s="6">
        <v>1783</v>
      </c>
      <c r="C1799" s="36" t="s">
        <v>714</v>
      </c>
      <c r="D1799" s="43" t="s">
        <v>601</v>
      </c>
      <c r="E1799" s="38" t="s">
        <v>941</v>
      </c>
      <c r="F1799" s="70" t="s">
        <v>2213</v>
      </c>
      <c r="G1799" s="70" t="s">
        <v>942</v>
      </c>
      <c r="H1799" s="70" t="s">
        <v>2213</v>
      </c>
      <c r="I1799" s="70" t="s">
        <v>942</v>
      </c>
      <c r="J1799" s="70" t="s">
        <v>2214</v>
      </c>
      <c r="K1799" s="70" t="s">
        <v>319</v>
      </c>
      <c r="L1799" s="70" t="s">
        <v>595</v>
      </c>
      <c r="M1799" s="12" t="s">
        <v>918</v>
      </c>
      <c r="N1799" s="26">
        <v>1</v>
      </c>
      <c r="O1799" s="57">
        <v>1800000</v>
      </c>
      <c r="P1799" s="62">
        <f t="shared" si="45"/>
        <v>1800000</v>
      </c>
      <c r="Q1799" s="6" t="s">
        <v>397</v>
      </c>
      <c r="R1799" s="6" t="s">
        <v>770</v>
      </c>
      <c r="S1799" s="38" t="s">
        <v>2038</v>
      </c>
      <c r="T1799" s="26">
        <v>0</v>
      </c>
    </row>
    <row r="1800" spans="1:20" s="14" customFormat="1" ht="76.5">
      <c r="A1800" s="2"/>
      <c r="B1800" s="6">
        <v>1784</v>
      </c>
      <c r="C1800" s="36" t="s">
        <v>714</v>
      </c>
      <c r="D1800" s="6" t="s">
        <v>601</v>
      </c>
      <c r="E1800" s="38" t="s">
        <v>602</v>
      </c>
      <c r="F1800" s="70" t="s">
        <v>603</v>
      </c>
      <c r="G1800" s="70" t="s">
        <v>786</v>
      </c>
      <c r="H1800" s="70" t="s">
        <v>605</v>
      </c>
      <c r="I1800" s="70" t="s">
        <v>606</v>
      </c>
      <c r="J1800" s="70" t="s">
        <v>787</v>
      </c>
      <c r="K1800" s="70" t="s">
        <v>320</v>
      </c>
      <c r="L1800" s="70" t="s">
        <v>595</v>
      </c>
      <c r="M1800" s="12" t="s">
        <v>918</v>
      </c>
      <c r="N1800" s="26">
        <v>1</v>
      </c>
      <c r="O1800" s="57">
        <v>1800000</v>
      </c>
      <c r="P1800" s="62">
        <f t="shared" si="45"/>
        <v>1800000</v>
      </c>
      <c r="Q1800" s="6" t="s">
        <v>397</v>
      </c>
      <c r="R1800" s="6" t="s">
        <v>770</v>
      </c>
      <c r="S1800" s="38" t="s">
        <v>2038</v>
      </c>
      <c r="T1800" s="26">
        <v>0</v>
      </c>
    </row>
    <row r="1801" spans="1:20" s="14" customFormat="1" ht="76.5">
      <c r="A1801" s="2"/>
      <c r="B1801" s="6">
        <v>1785</v>
      </c>
      <c r="C1801" s="36" t="s">
        <v>714</v>
      </c>
      <c r="D1801" s="6" t="s">
        <v>601</v>
      </c>
      <c r="E1801" s="38" t="s">
        <v>602</v>
      </c>
      <c r="F1801" s="70" t="s">
        <v>603</v>
      </c>
      <c r="G1801" s="70" t="s">
        <v>786</v>
      </c>
      <c r="H1801" s="70" t="s">
        <v>605</v>
      </c>
      <c r="I1801" s="70" t="s">
        <v>606</v>
      </c>
      <c r="J1801" s="70" t="s">
        <v>788</v>
      </c>
      <c r="K1801" s="70" t="s">
        <v>321</v>
      </c>
      <c r="L1801" s="70" t="s">
        <v>595</v>
      </c>
      <c r="M1801" s="12" t="s">
        <v>918</v>
      </c>
      <c r="N1801" s="26">
        <v>1</v>
      </c>
      <c r="O1801" s="57">
        <v>1800000</v>
      </c>
      <c r="P1801" s="62">
        <f t="shared" si="45"/>
        <v>1800000</v>
      </c>
      <c r="Q1801" s="6" t="s">
        <v>397</v>
      </c>
      <c r="R1801" s="6" t="s">
        <v>770</v>
      </c>
      <c r="S1801" s="38" t="s">
        <v>2038</v>
      </c>
      <c r="T1801" s="26">
        <v>0</v>
      </c>
    </row>
    <row r="1802" spans="1:20" s="14" customFormat="1" ht="76.5">
      <c r="A1802" s="2"/>
      <c r="B1802" s="6">
        <v>1786</v>
      </c>
      <c r="C1802" s="36" t="s">
        <v>714</v>
      </c>
      <c r="D1802" s="52" t="s">
        <v>601</v>
      </c>
      <c r="E1802" s="38" t="s">
        <v>602</v>
      </c>
      <c r="F1802" s="70" t="s">
        <v>603</v>
      </c>
      <c r="G1802" s="70" t="s">
        <v>786</v>
      </c>
      <c r="H1802" s="70" t="s">
        <v>605</v>
      </c>
      <c r="I1802" s="70" t="s">
        <v>606</v>
      </c>
      <c r="J1802" s="70" t="s">
        <v>909</v>
      </c>
      <c r="K1802" s="70" t="s">
        <v>322</v>
      </c>
      <c r="L1802" s="70" t="s">
        <v>595</v>
      </c>
      <c r="M1802" s="12" t="s">
        <v>918</v>
      </c>
      <c r="N1802" s="26">
        <v>1</v>
      </c>
      <c r="O1802" s="57">
        <v>1800000</v>
      </c>
      <c r="P1802" s="62">
        <f t="shared" si="45"/>
        <v>1800000</v>
      </c>
      <c r="Q1802" s="6" t="s">
        <v>397</v>
      </c>
      <c r="R1802" s="6" t="s">
        <v>770</v>
      </c>
      <c r="S1802" s="38" t="s">
        <v>2038</v>
      </c>
      <c r="T1802" s="26">
        <v>0</v>
      </c>
    </row>
    <row r="1803" spans="1:20" s="14" customFormat="1" ht="76.5">
      <c r="A1803" s="2"/>
      <c r="B1803" s="6">
        <v>1787</v>
      </c>
      <c r="C1803" s="36" t="s">
        <v>714</v>
      </c>
      <c r="D1803" s="6" t="s">
        <v>601</v>
      </c>
      <c r="E1803" s="38" t="s">
        <v>602</v>
      </c>
      <c r="F1803" s="70" t="s">
        <v>603</v>
      </c>
      <c r="G1803" s="70" t="s">
        <v>786</v>
      </c>
      <c r="H1803" s="70" t="s">
        <v>605</v>
      </c>
      <c r="I1803" s="70" t="s">
        <v>606</v>
      </c>
      <c r="J1803" s="70" t="s">
        <v>2219</v>
      </c>
      <c r="K1803" s="70" t="s">
        <v>385</v>
      </c>
      <c r="L1803" s="70" t="s">
        <v>595</v>
      </c>
      <c r="M1803" s="12" t="s">
        <v>918</v>
      </c>
      <c r="N1803" s="26">
        <v>1</v>
      </c>
      <c r="O1803" s="57">
        <v>1800000</v>
      </c>
      <c r="P1803" s="62">
        <f t="shared" si="45"/>
        <v>1800000</v>
      </c>
      <c r="Q1803" s="6" t="s">
        <v>397</v>
      </c>
      <c r="R1803" s="6" t="s">
        <v>770</v>
      </c>
      <c r="S1803" s="38" t="s">
        <v>2038</v>
      </c>
      <c r="T1803" s="26">
        <v>0</v>
      </c>
    </row>
    <row r="1804" spans="1:20" s="14" customFormat="1" ht="51">
      <c r="A1804" s="2"/>
      <c r="B1804" s="6">
        <v>1788</v>
      </c>
      <c r="C1804" s="36" t="s">
        <v>714</v>
      </c>
      <c r="D1804" s="43" t="s">
        <v>601</v>
      </c>
      <c r="E1804" s="38" t="s">
        <v>941</v>
      </c>
      <c r="F1804" s="70" t="s">
        <v>2213</v>
      </c>
      <c r="G1804" s="70" t="s">
        <v>942</v>
      </c>
      <c r="H1804" s="70" t="s">
        <v>2213</v>
      </c>
      <c r="I1804" s="70" t="s">
        <v>942</v>
      </c>
      <c r="J1804" s="70" t="s">
        <v>2214</v>
      </c>
      <c r="K1804" s="70" t="s">
        <v>319</v>
      </c>
      <c r="L1804" s="70" t="s">
        <v>595</v>
      </c>
      <c r="M1804" s="12" t="s">
        <v>918</v>
      </c>
      <c r="N1804" s="26">
        <v>1</v>
      </c>
      <c r="O1804" s="57">
        <v>1800000</v>
      </c>
      <c r="P1804" s="62">
        <f t="shared" si="45"/>
        <v>1800000</v>
      </c>
      <c r="Q1804" s="6" t="s">
        <v>397</v>
      </c>
      <c r="R1804" s="6" t="s">
        <v>770</v>
      </c>
      <c r="S1804" s="38">
        <v>591000000</v>
      </c>
      <c r="T1804" s="26">
        <v>0</v>
      </c>
    </row>
    <row r="1805" spans="1:20" s="14" customFormat="1" ht="76.5">
      <c r="A1805" s="2"/>
      <c r="B1805" s="6">
        <v>1789</v>
      </c>
      <c r="C1805" s="36" t="s">
        <v>714</v>
      </c>
      <c r="D1805" s="6" t="s">
        <v>601</v>
      </c>
      <c r="E1805" s="38" t="s">
        <v>602</v>
      </c>
      <c r="F1805" s="70" t="s">
        <v>603</v>
      </c>
      <c r="G1805" s="70" t="s">
        <v>786</v>
      </c>
      <c r="H1805" s="70" t="s">
        <v>605</v>
      </c>
      <c r="I1805" s="70" t="s">
        <v>606</v>
      </c>
      <c r="J1805" s="70" t="s">
        <v>787</v>
      </c>
      <c r="K1805" s="70" t="s">
        <v>320</v>
      </c>
      <c r="L1805" s="70" t="s">
        <v>595</v>
      </c>
      <c r="M1805" s="12" t="s">
        <v>918</v>
      </c>
      <c r="N1805" s="26">
        <v>1</v>
      </c>
      <c r="O1805" s="57">
        <v>1800000</v>
      </c>
      <c r="P1805" s="62">
        <f t="shared" si="45"/>
        <v>1800000</v>
      </c>
      <c r="Q1805" s="6" t="s">
        <v>397</v>
      </c>
      <c r="R1805" s="6" t="s">
        <v>770</v>
      </c>
      <c r="S1805" s="38">
        <v>591000000</v>
      </c>
      <c r="T1805" s="26">
        <v>0</v>
      </c>
    </row>
    <row r="1806" spans="1:20" s="14" customFormat="1" ht="76.5">
      <c r="A1806" s="2"/>
      <c r="B1806" s="6">
        <v>1790</v>
      </c>
      <c r="C1806" s="36" t="s">
        <v>714</v>
      </c>
      <c r="D1806" s="6" t="s">
        <v>601</v>
      </c>
      <c r="E1806" s="38" t="s">
        <v>602</v>
      </c>
      <c r="F1806" s="70" t="s">
        <v>603</v>
      </c>
      <c r="G1806" s="70" t="s">
        <v>786</v>
      </c>
      <c r="H1806" s="70" t="s">
        <v>605</v>
      </c>
      <c r="I1806" s="70" t="s">
        <v>606</v>
      </c>
      <c r="J1806" s="70" t="s">
        <v>788</v>
      </c>
      <c r="K1806" s="70" t="s">
        <v>321</v>
      </c>
      <c r="L1806" s="70" t="s">
        <v>595</v>
      </c>
      <c r="M1806" s="12" t="s">
        <v>918</v>
      </c>
      <c r="N1806" s="26">
        <v>1</v>
      </c>
      <c r="O1806" s="57">
        <v>1800000</v>
      </c>
      <c r="P1806" s="62">
        <f t="shared" si="45"/>
        <v>1800000</v>
      </c>
      <c r="Q1806" s="6" t="s">
        <v>397</v>
      </c>
      <c r="R1806" s="6" t="s">
        <v>770</v>
      </c>
      <c r="S1806" s="38">
        <v>591000000</v>
      </c>
      <c r="T1806" s="26">
        <v>0</v>
      </c>
    </row>
    <row r="1807" spans="1:20" s="14" customFormat="1" ht="76.5">
      <c r="A1807" s="2"/>
      <c r="B1807" s="6">
        <v>1791</v>
      </c>
      <c r="C1807" s="36" t="s">
        <v>714</v>
      </c>
      <c r="D1807" s="52" t="s">
        <v>601</v>
      </c>
      <c r="E1807" s="38" t="s">
        <v>602</v>
      </c>
      <c r="F1807" s="70" t="s">
        <v>603</v>
      </c>
      <c r="G1807" s="70" t="s">
        <v>786</v>
      </c>
      <c r="H1807" s="70" t="s">
        <v>605</v>
      </c>
      <c r="I1807" s="70" t="s">
        <v>606</v>
      </c>
      <c r="J1807" s="70" t="s">
        <v>909</v>
      </c>
      <c r="K1807" s="70" t="s">
        <v>322</v>
      </c>
      <c r="L1807" s="70" t="s">
        <v>595</v>
      </c>
      <c r="M1807" s="12" t="s">
        <v>918</v>
      </c>
      <c r="N1807" s="26">
        <v>1</v>
      </c>
      <c r="O1807" s="57">
        <v>1800000</v>
      </c>
      <c r="P1807" s="62">
        <f t="shared" si="45"/>
        <v>1800000</v>
      </c>
      <c r="Q1807" s="6" t="s">
        <v>397</v>
      </c>
      <c r="R1807" s="6" t="s">
        <v>770</v>
      </c>
      <c r="S1807" s="38">
        <v>591000000</v>
      </c>
      <c r="T1807" s="26">
        <v>0</v>
      </c>
    </row>
    <row r="1808" spans="1:20" s="14" customFormat="1" ht="63.75">
      <c r="A1808" s="2"/>
      <c r="B1808" s="6">
        <v>1792</v>
      </c>
      <c r="C1808" s="16" t="s">
        <v>945</v>
      </c>
      <c r="D1808" s="6" t="s">
        <v>601</v>
      </c>
      <c r="E1808" s="38" t="s">
        <v>602</v>
      </c>
      <c r="F1808" s="70" t="s">
        <v>2209</v>
      </c>
      <c r="G1808" s="70" t="s">
        <v>604</v>
      </c>
      <c r="H1808" s="70" t="s">
        <v>2207</v>
      </c>
      <c r="I1808" s="70" t="s">
        <v>606</v>
      </c>
      <c r="J1808" s="70" t="s">
        <v>2208</v>
      </c>
      <c r="K1808" s="70" t="s">
        <v>327</v>
      </c>
      <c r="L1808" s="70" t="s">
        <v>595</v>
      </c>
      <c r="M1808" s="12" t="s">
        <v>918</v>
      </c>
      <c r="N1808" s="26">
        <v>1</v>
      </c>
      <c r="O1808" s="57">
        <v>1800000</v>
      </c>
      <c r="P1808" s="62">
        <f t="shared" si="45"/>
        <v>1800000</v>
      </c>
      <c r="Q1808" s="6" t="s">
        <v>397</v>
      </c>
      <c r="R1808" s="6" t="s">
        <v>770</v>
      </c>
      <c r="S1808" s="38">
        <v>591000000</v>
      </c>
      <c r="T1808" s="26">
        <v>0</v>
      </c>
    </row>
    <row r="1809" spans="1:20" ht="51">
      <c r="B1809" s="6">
        <v>1793</v>
      </c>
      <c r="C1809" s="36" t="s">
        <v>714</v>
      </c>
      <c r="D1809" s="43" t="s">
        <v>601</v>
      </c>
      <c r="E1809" s="38" t="s">
        <v>941</v>
      </c>
      <c r="F1809" s="70" t="s">
        <v>2213</v>
      </c>
      <c r="G1809" s="70" t="s">
        <v>942</v>
      </c>
      <c r="H1809" s="70" t="s">
        <v>2213</v>
      </c>
      <c r="I1809" s="70" t="s">
        <v>942</v>
      </c>
      <c r="J1809" s="70" t="s">
        <v>2214</v>
      </c>
      <c r="K1809" s="70" t="s">
        <v>319</v>
      </c>
      <c r="L1809" s="70" t="s">
        <v>595</v>
      </c>
      <c r="M1809" s="12" t="s">
        <v>918</v>
      </c>
      <c r="N1809" s="26">
        <v>1</v>
      </c>
      <c r="O1809" s="57">
        <v>1800000</v>
      </c>
      <c r="P1809" s="62">
        <f t="shared" si="45"/>
        <v>1800000</v>
      </c>
      <c r="Q1809" s="6" t="s">
        <v>397</v>
      </c>
      <c r="R1809" s="6" t="s">
        <v>770</v>
      </c>
      <c r="S1809" s="38" t="s">
        <v>929</v>
      </c>
      <c r="T1809" s="26">
        <v>0</v>
      </c>
    </row>
    <row r="1810" spans="1:20" ht="76.5">
      <c r="B1810" s="6">
        <v>1794</v>
      </c>
      <c r="C1810" s="36" t="s">
        <v>714</v>
      </c>
      <c r="D1810" s="6" t="s">
        <v>601</v>
      </c>
      <c r="E1810" s="38" t="s">
        <v>602</v>
      </c>
      <c r="F1810" s="70" t="s">
        <v>603</v>
      </c>
      <c r="G1810" s="70" t="s">
        <v>786</v>
      </c>
      <c r="H1810" s="70" t="s">
        <v>605</v>
      </c>
      <c r="I1810" s="70" t="s">
        <v>606</v>
      </c>
      <c r="J1810" s="70" t="s">
        <v>787</v>
      </c>
      <c r="K1810" s="70" t="s">
        <v>320</v>
      </c>
      <c r="L1810" s="70" t="s">
        <v>595</v>
      </c>
      <c r="M1810" s="12" t="s">
        <v>918</v>
      </c>
      <c r="N1810" s="26">
        <v>1</v>
      </c>
      <c r="O1810" s="57">
        <v>1800000</v>
      </c>
      <c r="P1810" s="62">
        <f t="shared" si="45"/>
        <v>1800000</v>
      </c>
      <c r="Q1810" s="6" t="s">
        <v>397</v>
      </c>
      <c r="R1810" s="6" t="s">
        <v>770</v>
      </c>
      <c r="S1810" s="38" t="s">
        <v>929</v>
      </c>
      <c r="T1810" s="26">
        <v>0</v>
      </c>
    </row>
    <row r="1811" spans="1:20" ht="76.5">
      <c r="B1811" s="6">
        <v>1795</v>
      </c>
      <c r="C1811" s="36" t="s">
        <v>714</v>
      </c>
      <c r="D1811" s="6" t="s">
        <v>601</v>
      </c>
      <c r="E1811" s="38" t="s">
        <v>602</v>
      </c>
      <c r="F1811" s="70" t="s">
        <v>603</v>
      </c>
      <c r="G1811" s="70" t="s">
        <v>786</v>
      </c>
      <c r="H1811" s="70" t="s">
        <v>605</v>
      </c>
      <c r="I1811" s="70" t="s">
        <v>606</v>
      </c>
      <c r="J1811" s="70" t="s">
        <v>788</v>
      </c>
      <c r="K1811" s="70" t="s">
        <v>321</v>
      </c>
      <c r="L1811" s="70" t="s">
        <v>595</v>
      </c>
      <c r="M1811" s="12" t="s">
        <v>918</v>
      </c>
      <c r="N1811" s="26">
        <v>1</v>
      </c>
      <c r="O1811" s="57">
        <v>1800000</v>
      </c>
      <c r="P1811" s="62">
        <f t="shared" si="45"/>
        <v>1800000</v>
      </c>
      <c r="Q1811" s="6" t="s">
        <v>397</v>
      </c>
      <c r="R1811" s="6" t="s">
        <v>770</v>
      </c>
      <c r="S1811" s="38" t="s">
        <v>929</v>
      </c>
      <c r="T1811" s="26">
        <v>0</v>
      </c>
    </row>
    <row r="1812" spans="1:20" ht="76.5">
      <c r="B1812" s="6">
        <v>1796</v>
      </c>
      <c r="C1812" s="36" t="s">
        <v>714</v>
      </c>
      <c r="D1812" s="52" t="s">
        <v>601</v>
      </c>
      <c r="E1812" s="38" t="s">
        <v>602</v>
      </c>
      <c r="F1812" s="70" t="s">
        <v>603</v>
      </c>
      <c r="G1812" s="70" t="s">
        <v>786</v>
      </c>
      <c r="H1812" s="70" t="s">
        <v>605</v>
      </c>
      <c r="I1812" s="70" t="s">
        <v>606</v>
      </c>
      <c r="J1812" s="70" t="s">
        <v>909</v>
      </c>
      <c r="K1812" s="70" t="s">
        <v>322</v>
      </c>
      <c r="L1812" s="70" t="s">
        <v>595</v>
      </c>
      <c r="M1812" s="12" t="s">
        <v>918</v>
      </c>
      <c r="N1812" s="26">
        <v>1</v>
      </c>
      <c r="O1812" s="57">
        <v>1800000</v>
      </c>
      <c r="P1812" s="62">
        <f t="shared" si="45"/>
        <v>1800000</v>
      </c>
      <c r="Q1812" s="6" t="s">
        <v>397</v>
      </c>
      <c r="R1812" s="6" t="s">
        <v>770</v>
      </c>
      <c r="S1812" s="38" t="s">
        <v>929</v>
      </c>
      <c r="T1812" s="26">
        <v>0</v>
      </c>
    </row>
    <row r="1813" spans="1:20" ht="63.75">
      <c r="B1813" s="6">
        <v>1797</v>
      </c>
      <c r="C1813" s="16" t="s">
        <v>714</v>
      </c>
      <c r="D1813" s="38" t="s">
        <v>601</v>
      </c>
      <c r="E1813" s="38" t="s">
        <v>602</v>
      </c>
      <c r="F1813" s="70" t="s">
        <v>603</v>
      </c>
      <c r="G1813" s="70" t="s">
        <v>604</v>
      </c>
      <c r="H1813" s="70" t="s">
        <v>1024</v>
      </c>
      <c r="I1813" s="70" t="s">
        <v>606</v>
      </c>
      <c r="J1813" s="70" t="s">
        <v>2135</v>
      </c>
      <c r="K1813" s="70" t="s">
        <v>2134</v>
      </c>
      <c r="L1813" s="70" t="s">
        <v>595</v>
      </c>
      <c r="M1813" s="12" t="s">
        <v>918</v>
      </c>
      <c r="N1813" s="26">
        <v>1</v>
      </c>
      <c r="O1813" s="57">
        <v>1800000</v>
      </c>
      <c r="P1813" s="62">
        <f t="shared" si="45"/>
        <v>1800000</v>
      </c>
      <c r="Q1813" s="6" t="s">
        <v>397</v>
      </c>
      <c r="R1813" s="6" t="s">
        <v>770</v>
      </c>
      <c r="S1813" s="38" t="s">
        <v>929</v>
      </c>
      <c r="T1813" s="26">
        <v>0</v>
      </c>
    </row>
    <row r="1814" spans="1:20" s="56" customFormat="1" ht="216.75">
      <c r="A1814" s="55"/>
      <c r="B1814" s="6">
        <v>1798</v>
      </c>
      <c r="C1814" s="16" t="s">
        <v>714</v>
      </c>
      <c r="D1814" s="38" t="s">
        <v>601</v>
      </c>
      <c r="E1814" s="38" t="s">
        <v>602</v>
      </c>
      <c r="F1814" s="70" t="s">
        <v>2206</v>
      </c>
      <c r="G1814" s="70" t="s">
        <v>604</v>
      </c>
      <c r="H1814" s="70" t="s">
        <v>2207</v>
      </c>
      <c r="I1814" s="70" t="s">
        <v>606</v>
      </c>
      <c r="J1814" s="70" t="s">
        <v>2327</v>
      </c>
      <c r="K1814" s="70" t="s">
        <v>2326</v>
      </c>
      <c r="L1814" s="70" t="s">
        <v>595</v>
      </c>
      <c r="M1814" s="12" t="s">
        <v>918</v>
      </c>
      <c r="N1814" s="26">
        <v>1</v>
      </c>
      <c r="O1814" s="57">
        <v>450000</v>
      </c>
      <c r="P1814" s="62">
        <f t="shared" si="45"/>
        <v>450000</v>
      </c>
      <c r="Q1814" s="6" t="s">
        <v>397</v>
      </c>
      <c r="R1814" s="6" t="s">
        <v>770</v>
      </c>
      <c r="S1814" s="38">
        <v>311000000</v>
      </c>
      <c r="T1814" s="32">
        <v>0</v>
      </c>
    </row>
    <row r="1815" spans="1:20" s="42" customFormat="1" ht="216.75">
      <c r="A1815" s="41"/>
      <c r="B1815" s="6">
        <v>1799</v>
      </c>
      <c r="C1815" s="16" t="s">
        <v>714</v>
      </c>
      <c r="D1815" s="38" t="s">
        <v>601</v>
      </c>
      <c r="E1815" s="38" t="s">
        <v>602</v>
      </c>
      <c r="F1815" s="70" t="s">
        <v>2206</v>
      </c>
      <c r="G1815" s="70" t="s">
        <v>604</v>
      </c>
      <c r="H1815" s="70" t="s">
        <v>2207</v>
      </c>
      <c r="I1815" s="70" t="s">
        <v>606</v>
      </c>
      <c r="J1815" s="70" t="s">
        <v>2327</v>
      </c>
      <c r="K1815" s="70" t="s">
        <v>2328</v>
      </c>
      <c r="L1815" s="70" t="s">
        <v>595</v>
      </c>
      <c r="M1815" s="12" t="s">
        <v>918</v>
      </c>
      <c r="N1815" s="26">
        <v>1</v>
      </c>
      <c r="O1815" s="57">
        <v>450000</v>
      </c>
      <c r="P1815" s="62">
        <f t="shared" si="45"/>
        <v>450000</v>
      </c>
      <c r="Q1815" s="6" t="s">
        <v>397</v>
      </c>
      <c r="R1815" s="6" t="s">
        <v>770</v>
      </c>
      <c r="S1815" s="38">
        <v>311000000</v>
      </c>
      <c r="T1815" s="26">
        <v>0</v>
      </c>
    </row>
    <row r="1816" spans="1:20" s="42" customFormat="1" ht="216.75">
      <c r="A1816" s="41"/>
      <c r="B1816" s="6">
        <v>1800</v>
      </c>
      <c r="C1816" s="16" t="s">
        <v>714</v>
      </c>
      <c r="D1816" s="38" t="s">
        <v>601</v>
      </c>
      <c r="E1816" s="38" t="s">
        <v>602</v>
      </c>
      <c r="F1816" s="70" t="s">
        <v>2206</v>
      </c>
      <c r="G1816" s="70" t="s">
        <v>604</v>
      </c>
      <c r="H1816" s="70" t="s">
        <v>2207</v>
      </c>
      <c r="I1816" s="70" t="s">
        <v>606</v>
      </c>
      <c r="J1816" s="70" t="s">
        <v>2327</v>
      </c>
      <c r="K1816" s="70" t="s">
        <v>2328</v>
      </c>
      <c r="L1816" s="70" t="s">
        <v>595</v>
      </c>
      <c r="M1816" s="12" t="s">
        <v>918</v>
      </c>
      <c r="N1816" s="26">
        <v>1</v>
      </c>
      <c r="O1816" s="57">
        <v>450000</v>
      </c>
      <c r="P1816" s="62">
        <f t="shared" si="45"/>
        <v>450000</v>
      </c>
      <c r="Q1816" s="6" t="s">
        <v>397</v>
      </c>
      <c r="R1816" s="6" t="s">
        <v>770</v>
      </c>
      <c r="S1816" s="38">
        <v>311000000</v>
      </c>
      <c r="T1816" s="26">
        <v>0</v>
      </c>
    </row>
    <row r="1817" spans="1:20" s="42" customFormat="1" ht="216.75">
      <c r="A1817" s="41"/>
      <c r="B1817" s="6">
        <v>1801</v>
      </c>
      <c r="C1817" s="16" t="s">
        <v>714</v>
      </c>
      <c r="D1817" s="38" t="s">
        <v>601</v>
      </c>
      <c r="E1817" s="38" t="s">
        <v>602</v>
      </c>
      <c r="F1817" s="70" t="s">
        <v>2206</v>
      </c>
      <c r="G1817" s="70" t="s">
        <v>604</v>
      </c>
      <c r="H1817" s="70" t="s">
        <v>2207</v>
      </c>
      <c r="I1817" s="70" t="s">
        <v>606</v>
      </c>
      <c r="J1817" s="70" t="s">
        <v>2327</v>
      </c>
      <c r="K1817" s="70" t="s">
        <v>2328</v>
      </c>
      <c r="L1817" s="70" t="s">
        <v>595</v>
      </c>
      <c r="M1817" s="12" t="s">
        <v>918</v>
      </c>
      <c r="N1817" s="26">
        <v>1</v>
      </c>
      <c r="O1817" s="57">
        <v>450000</v>
      </c>
      <c r="P1817" s="62">
        <f t="shared" si="45"/>
        <v>450000</v>
      </c>
      <c r="Q1817" s="6" t="s">
        <v>397</v>
      </c>
      <c r="R1817" s="6" t="s">
        <v>770</v>
      </c>
      <c r="S1817" s="38">
        <v>311000000</v>
      </c>
      <c r="T1817" s="26">
        <v>0</v>
      </c>
    </row>
    <row r="1818" spans="1:20" s="42" customFormat="1" ht="51">
      <c r="A1818" s="41"/>
      <c r="B1818" s="6">
        <v>1802</v>
      </c>
      <c r="C1818" s="36" t="s">
        <v>714</v>
      </c>
      <c r="D1818" s="43" t="s">
        <v>601</v>
      </c>
      <c r="E1818" s="38" t="s">
        <v>941</v>
      </c>
      <c r="F1818" s="70" t="s">
        <v>2213</v>
      </c>
      <c r="G1818" s="70" t="s">
        <v>942</v>
      </c>
      <c r="H1818" s="70" t="s">
        <v>2213</v>
      </c>
      <c r="I1818" s="70" t="s">
        <v>942</v>
      </c>
      <c r="J1818" s="70" t="s">
        <v>2214</v>
      </c>
      <c r="K1818" s="70" t="s">
        <v>319</v>
      </c>
      <c r="L1818" s="70" t="s">
        <v>595</v>
      </c>
      <c r="M1818" s="12" t="s">
        <v>918</v>
      </c>
      <c r="N1818" s="26">
        <v>1</v>
      </c>
      <c r="O1818" s="57">
        <v>1350000</v>
      </c>
      <c r="P1818" s="62">
        <f t="shared" si="45"/>
        <v>1350000</v>
      </c>
      <c r="Q1818" s="6" t="s">
        <v>616</v>
      </c>
      <c r="R1818" s="6" t="s">
        <v>770</v>
      </c>
      <c r="S1818" s="38">
        <v>311000000</v>
      </c>
      <c r="T1818" s="26">
        <v>0</v>
      </c>
    </row>
    <row r="1819" spans="1:20" s="42" customFormat="1" ht="76.5">
      <c r="A1819" s="41"/>
      <c r="B1819" s="6">
        <v>1803</v>
      </c>
      <c r="C1819" s="36" t="s">
        <v>714</v>
      </c>
      <c r="D1819" s="6" t="s">
        <v>601</v>
      </c>
      <c r="E1819" s="38" t="s">
        <v>602</v>
      </c>
      <c r="F1819" s="70" t="s">
        <v>603</v>
      </c>
      <c r="G1819" s="70" t="s">
        <v>786</v>
      </c>
      <c r="H1819" s="70" t="s">
        <v>605</v>
      </c>
      <c r="I1819" s="70" t="s">
        <v>606</v>
      </c>
      <c r="J1819" s="70" t="s">
        <v>787</v>
      </c>
      <c r="K1819" s="70" t="s">
        <v>320</v>
      </c>
      <c r="L1819" s="70" t="s">
        <v>595</v>
      </c>
      <c r="M1819" s="12" t="s">
        <v>918</v>
      </c>
      <c r="N1819" s="26">
        <v>1</v>
      </c>
      <c r="O1819" s="57">
        <v>1350000</v>
      </c>
      <c r="P1819" s="62">
        <f t="shared" si="45"/>
        <v>1350000</v>
      </c>
      <c r="Q1819" s="6" t="s">
        <v>616</v>
      </c>
      <c r="R1819" s="6" t="s">
        <v>770</v>
      </c>
      <c r="S1819" s="38">
        <v>311000000</v>
      </c>
      <c r="T1819" s="26">
        <v>0</v>
      </c>
    </row>
    <row r="1820" spans="1:20" s="42" customFormat="1" ht="76.5">
      <c r="A1820" s="41"/>
      <c r="B1820" s="6">
        <v>1804</v>
      </c>
      <c r="C1820" s="36" t="s">
        <v>714</v>
      </c>
      <c r="D1820" s="6" t="s">
        <v>601</v>
      </c>
      <c r="E1820" s="38" t="s">
        <v>602</v>
      </c>
      <c r="F1820" s="70" t="s">
        <v>603</v>
      </c>
      <c r="G1820" s="70" t="s">
        <v>786</v>
      </c>
      <c r="H1820" s="70" t="s">
        <v>605</v>
      </c>
      <c r="I1820" s="70" t="s">
        <v>606</v>
      </c>
      <c r="J1820" s="70" t="s">
        <v>788</v>
      </c>
      <c r="K1820" s="70" t="s">
        <v>321</v>
      </c>
      <c r="L1820" s="70" t="s">
        <v>595</v>
      </c>
      <c r="M1820" s="12" t="s">
        <v>918</v>
      </c>
      <c r="N1820" s="26">
        <v>1</v>
      </c>
      <c r="O1820" s="57">
        <v>1350000</v>
      </c>
      <c r="P1820" s="62">
        <f t="shared" si="45"/>
        <v>1350000</v>
      </c>
      <c r="Q1820" s="6" t="s">
        <v>616</v>
      </c>
      <c r="R1820" s="6" t="s">
        <v>770</v>
      </c>
      <c r="S1820" s="38">
        <v>311000000</v>
      </c>
      <c r="T1820" s="26">
        <v>0</v>
      </c>
    </row>
    <row r="1821" spans="1:20" s="42" customFormat="1" ht="216.75">
      <c r="A1821" s="41"/>
      <c r="B1821" s="6">
        <v>1805</v>
      </c>
      <c r="C1821" s="16" t="s">
        <v>714</v>
      </c>
      <c r="D1821" s="38" t="s">
        <v>601</v>
      </c>
      <c r="E1821" s="38" t="s">
        <v>602</v>
      </c>
      <c r="F1821" s="70" t="s">
        <v>2206</v>
      </c>
      <c r="G1821" s="70" t="s">
        <v>604</v>
      </c>
      <c r="H1821" s="70" t="s">
        <v>2207</v>
      </c>
      <c r="I1821" s="70" t="s">
        <v>606</v>
      </c>
      <c r="J1821" s="70" t="s">
        <v>2327</v>
      </c>
      <c r="K1821" s="70" t="s">
        <v>2328</v>
      </c>
      <c r="L1821" s="70" t="s">
        <v>595</v>
      </c>
      <c r="M1821" s="12" t="s">
        <v>918</v>
      </c>
      <c r="N1821" s="26">
        <v>1</v>
      </c>
      <c r="O1821" s="57">
        <v>1350000</v>
      </c>
      <c r="P1821" s="62">
        <f t="shared" si="45"/>
        <v>1350000</v>
      </c>
      <c r="Q1821" s="6" t="s">
        <v>616</v>
      </c>
      <c r="R1821" s="6" t="s">
        <v>770</v>
      </c>
      <c r="S1821" s="38">
        <v>311000000</v>
      </c>
      <c r="T1821" s="26">
        <v>0</v>
      </c>
    </row>
    <row r="1822" spans="1:20" s="42" customFormat="1" ht="76.5">
      <c r="A1822" s="41"/>
      <c r="B1822" s="6">
        <v>1806</v>
      </c>
      <c r="C1822" s="36" t="s">
        <v>714</v>
      </c>
      <c r="D1822" s="52" t="s">
        <v>601</v>
      </c>
      <c r="E1822" s="38" t="s">
        <v>602</v>
      </c>
      <c r="F1822" s="70" t="s">
        <v>603</v>
      </c>
      <c r="G1822" s="70" t="s">
        <v>786</v>
      </c>
      <c r="H1822" s="70" t="s">
        <v>605</v>
      </c>
      <c r="I1822" s="70" t="s">
        <v>606</v>
      </c>
      <c r="J1822" s="70" t="s">
        <v>909</v>
      </c>
      <c r="K1822" s="70" t="s">
        <v>322</v>
      </c>
      <c r="L1822" s="70" t="s">
        <v>595</v>
      </c>
      <c r="M1822" s="12" t="s">
        <v>918</v>
      </c>
      <c r="N1822" s="26">
        <v>1</v>
      </c>
      <c r="O1822" s="57">
        <v>1800000</v>
      </c>
      <c r="P1822" s="62">
        <f t="shared" si="45"/>
        <v>1800000</v>
      </c>
      <c r="Q1822" s="6" t="s">
        <v>397</v>
      </c>
      <c r="R1822" s="6" t="s">
        <v>770</v>
      </c>
      <c r="S1822" s="38">
        <v>311000000</v>
      </c>
      <c r="T1822" s="26">
        <v>0</v>
      </c>
    </row>
    <row r="1823" spans="1:20" s="14" customFormat="1" ht="51">
      <c r="A1823" s="2"/>
      <c r="B1823" s="6">
        <v>1807</v>
      </c>
      <c r="C1823" s="36" t="s">
        <v>714</v>
      </c>
      <c r="D1823" s="43" t="s">
        <v>601</v>
      </c>
      <c r="E1823" s="38" t="s">
        <v>941</v>
      </c>
      <c r="F1823" s="70" t="s">
        <v>2213</v>
      </c>
      <c r="G1823" s="70" t="s">
        <v>942</v>
      </c>
      <c r="H1823" s="70" t="s">
        <v>2213</v>
      </c>
      <c r="I1823" s="70" t="s">
        <v>942</v>
      </c>
      <c r="J1823" s="70" t="s">
        <v>2214</v>
      </c>
      <c r="K1823" s="70" t="s">
        <v>319</v>
      </c>
      <c r="L1823" s="70" t="s">
        <v>595</v>
      </c>
      <c r="M1823" s="12" t="s">
        <v>918</v>
      </c>
      <c r="N1823" s="26">
        <v>1</v>
      </c>
      <c r="O1823" s="57">
        <v>1800000</v>
      </c>
      <c r="P1823" s="62">
        <f t="shared" si="45"/>
        <v>1800000</v>
      </c>
      <c r="Q1823" s="6" t="s">
        <v>395</v>
      </c>
      <c r="R1823" s="6" t="s">
        <v>770</v>
      </c>
      <c r="S1823" s="38" t="s">
        <v>2031</v>
      </c>
      <c r="T1823" s="26">
        <v>0</v>
      </c>
    </row>
    <row r="1824" spans="1:20" s="14" customFormat="1" ht="76.5">
      <c r="A1824" s="2"/>
      <c r="B1824" s="6">
        <v>1808</v>
      </c>
      <c r="C1824" s="36" t="s">
        <v>714</v>
      </c>
      <c r="D1824" s="6" t="s">
        <v>601</v>
      </c>
      <c r="E1824" s="38" t="s">
        <v>602</v>
      </c>
      <c r="F1824" s="70" t="s">
        <v>603</v>
      </c>
      <c r="G1824" s="70" t="s">
        <v>786</v>
      </c>
      <c r="H1824" s="70" t="s">
        <v>605</v>
      </c>
      <c r="I1824" s="70" t="s">
        <v>606</v>
      </c>
      <c r="J1824" s="70" t="s">
        <v>787</v>
      </c>
      <c r="K1824" s="70" t="s">
        <v>320</v>
      </c>
      <c r="L1824" s="70" t="s">
        <v>595</v>
      </c>
      <c r="M1824" s="12" t="s">
        <v>918</v>
      </c>
      <c r="N1824" s="26">
        <v>1</v>
      </c>
      <c r="O1824" s="57">
        <v>1800000</v>
      </c>
      <c r="P1824" s="62">
        <f t="shared" si="45"/>
        <v>1800000</v>
      </c>
      <c r="Q1824" s="6" t="s">
        <v>397</v>
      </c>
      <c r="R1824" s="6" t="s">
        <v>770</v>
      </c>
      <c r="S1824" s="38" t="s">
        <v>2031</v>
      </c>
      <c r="T1824" s="26">
        <v>0</v>
      </c>
    </row>
    <row r="1825" spans="1:20" s="14" customFormat="1" ht="76.5">
      <c r="A1825" s="2"/>
      <c r="B1825" s="6">
        <v>1809</v>
      </c>
      <c r="C1825" s="36" t="s">
        <v>714</v>
      </c>
      <c r="D1825" s="6" t="s">
        <v>601</v>
      </c>
      <c r="E1825" s="38" t="s">
        <v>602</v>
      </c>
      <c r="F1825" s="70" t="s">
        <v>603</v>
      </c>
      <c r="G1825" s="70" t="s">
        <v>786</v>
      </c>
      <c r="H1825" s="70" t="s">
        <v>605</v>
      </c>
      <c r="I1825" s="70" t="s">
        <v>606</v>
      </c>
      <c r="J1825" s="70" t="s">
        <v>788</v>
      </c>
      <c r="K1825" s="70" t="s">
        <v>321</v>
      </c>
      <c r="L1825" s="70" t="s">
        <v>595</v>
      </c>
      <c r="M1825" s="12" t="s">
        <v>918</v>
      </c>
      <c r="N1825" s="26">
        <v>1</v>
      </c>
      <c r="O1825" s="57">
        <v>1800000</v>
      </c>
      <c r="P1825" s="62">
        <f t="shared" si="45"/>
        <v>1800000</v>
      </c>
      <c r="Q1825" s="6" t="s">
        <v>397</v>
      </c>
      <c r="R1825" s="6" t="s">
        <v>770</v>
      </c>
      <c r="S1825" s="38" t="s">
        <v>2031</v>
      </c>
      <c r="T1825" s="26">
        <v>0</v>
      </c>
    </row>
    <row r="1826" spans="1:20" s="14" customFormat="1" ht="76.5">
      <c r="A1826" s="2"/>
      <c r="B1826" s="6">
        <v>1810</v>
      </c>
      <c r="C1826" s="36" t="s">
        <v>714</v>
      </c>
      <c r="D1826" s="52" t="s">
        <v>601</v>
      </c>
      <c r="E1826" s="38" t="s">
        <v>602</v>
      </c>
      <c r="F1826" s="70" t="s">
        <v>603</v>
      </c>
      <c r="G1826" s="70" t="s">
        <v>786</v>
      </c>
      <c r="H1826" s="70" t="s">
        <v>605</v>
      </c>
      <c r="I1826" s="70" t="s">
        <v>606</v>
      </c>
      <c r="J1826" s="70" t="s">
        <v>909</v>
      </c>
      <c r="K1826" s="70" t="s">
        <v>322</v>
      </c>
      <c r="L1826" s="70" t="s">
        <v>595</v>
      </c>
      <c r="M1826" s="12" t="s">
        <v>918</v>
      </c>
      <c r="N1826" s="26">
        <v>1</v>
      </c>
      <c r="O1826" s="57">
        <v>1800000</v>
      </c>
      <c r="P1826" s="62">
        <f t="shared" si="45"/>
        <v>1800000</v>
      </c>
      <c r="Q1826" s="6" t="s">
        <v>397</v>
      </c>
      <c r="R1826" s="6" t="s">
        <v>770</v>
      </c>
      <c r="S1826" s="38" t="s">
        <v>2031</v>
      </c>
      <c r="T1826" s="26">
        <v>0</v>
      </c>
    </row>
    <row r="1827" spans="1:20" s="14" customFormat="1" ht="63.75">
      <c r="A1827" s="2"/>
      <c r="B1827" s="6">
        <v>1811</v>
      </c>
      <c r="C1827" s="16" t="s">
        <v>714</v>
      </c>
      <c r="D1827" s="38" t="s">
        <v>601</v>
      </c>
      <c r="E1827" s="38" t="s">
        <v>602</v>
      </c>
      <c r="F1827" s="70" t="s">
        <v>2206</v>
      </c>
      <c r="G1827" s="70" t="s">
        <v>604</v>
      </c>
      <c r="H1827" s="70" t="s">
        <v>2207</v>
      </c>
      <c r="I1827" s="70" t="s">
        <v>606</v>
      </c>
      <c r="J1827" s="70" t="s">
        <v>2212</v>
      </c>
      <c r="K1827" s="70" t="s">
        <v>326</v>
      </c>
      <c r="L1827" s="70" t="s">
        <v>595</v>
      </c>
      <c r="M1827" s="12" t="s">
        <v>918</v>
      </c>
      <c r="N1827" s="26">
        <v>1</v>
      </c>
      <c r="O1827" s="57">
        <v>1800000</v>
      </c>
      <c r="P1827" s="62">
        <f t="shared" si="45"/>
        <v>1800000</v>
      </c>
      <c r="Q1827" s="6" t="s">
        <v>397</v>
      </c>
      <c r="R1827" s="6" t="s">
        <v>770</v>
      </c>
      <c r="S1827" s="38" t="s">
        <v>2031</v>
      </c>
      <c r="T1827" s="26">
        <v>0</v>
      </c>
    </row>
    <row r="1828" spans="1:20" s="14" customFormat="1" ht="51">
      <c r="A1828" s="2"/>
      <c r="B1828" s="6">
        <v>1812</v>
      </c>
      <c r="C1828" s="36" t="s">
        <v>714</v>
      </c>
      <c r="D1828" s="43" t="s">
        <v>601</v>
      </c>
      <c r="E1828" s="38" t="s">
        <v>941</v>
      </c>
      <c r="F1828" s="70" t="s">
        <v>2213</v>
      </c>
      <c r="G1828" s="70" t="s">
        <v>942</v>
      </c>
      <c r="H1828" s="70" t="s">
        <v>2213</v>
      </c>
      <c r="I1828" s="70" t="s">
        <v>942</v>
      </c>
      <c r="J1828" s="70" t="s">
        <v>2214</v>
      </c>
      <c r="K1828" s="70" t="s">
        <v>319</v>
      </c>
      <c r="L1828" s="70" t="s">
        <v>595</v>
      </c>
      <c r="M1828" s="12" t="s">
        <v>918</v>
      </c>
      <c r="N1828" s="26">
        <v>1</v>
      </c>
      <c r="O1828" s="57">
        <v>1800000</v>
      </c>
      <c r="P1828" s="62">
        <f t="shared" si="45"/>
        <v>1800000</v>
      </c>
      <c r="Q1828" s="6" t="s">
        <v>397</v>
      </c>
      <c r="R1828" s="6" t="s">
        <v>770</v>
      </c>
      <c r="S1828" s="38" t="s">
        <v>1025</v>
      </c>
      <c r="T1828" s="6">
        <v>0</v>
      </c>
    </row>
    <row r="1829" spans="1:20" s="14" customFormat="1" ht="76.5">
      <c r="A1829" s="2"/>
      <c r="B1829" s="6">
        <v>1813</v>
      </c>
      <c r="C1829" s="36" t="s">
        <v>714</v>
      </c>
      <c r="D1829" s="6" t="s">
        <v>601</v>
      </c>
      <c r="E1829" s="38" t="s">
        <v>602</v>
      </c>
      <c r="F1829" s="70" t="s">
        <v>603</v>
      </c>
      <c r="G1829" s="70" t="s">
        <v>786</v>
      </c>
      <c r="H1829" s="70" t="s">
        <v>605</v>
      </c>
      <c r="I1829" s="70" t="s">
        <v>606</v>
      </c>
      <c r="J1829" s="70" t="s">
        <v>787</v>
      </c>
      <c r="K1829" s="70" t="s">
        <v>320</v>
      </c>
      <c r="L1829" s="70" t="s">
        <v>595</v>
      </c>
      <c r="M1829" s="12" t="s">
        <v>918</v>
      </c>
      <c r="N1829" s="26">
        <v>1</v>
      </c>
      <c r="O1829" s="57">
        <v>1800000</v>
      </c>
      <c r="P1829" s="62">
        <f t="shared" si="45"/>
        <v>1800000</v>
      </c>
      <c r="Q1829" s="6" t="s">
        <v>397</v>
      </c>
      <c r="R1829" s="6" t="s">
        <v>770</v>
      </c>
      <c r="S1829" s="38" t="s">
        <v>1025</v>
      </c>
      <c r="T1829" s="6">
        <v>0</v>
      </c>
    </row>
    <row r="1830" spans="1:20" s="14" customFormat="1" ht="76.5">
      <c r="A1830" s="2"/>
      <c r="B1830" s="6">
        <v>1814</v>
      </c>
      <c r="C1830" s="36" t="s">
        <v>714</v>
      </c>
      <c r="D1830" s="6" t="s">
        <v>601</v>
      </c>
      <c r="E1830" s="38" t="s">
        <v>602</v>
      </c>
      <c r="F1830" s="70" t="s">
        <v>603</v>
      </c>
      <c r="G1830" s="70" t="s">
        <v>786</v>
      </c>
      <c r="H1830" s="70" t="s">
        <v>605</v>
      </c>
      <c r="I1830" s="70" t="s">
        <v>606</v>
      </c>
      <c r="J1830" s="70" t="s">
        <v>788</v>
      </c>
      <c r="K1830" s="70" t="s">
        <v>321</v>
      </c>
      <c r="L1830" s="70" t="s">
        <v>595</v>
      </c>
      <c r="M1830" s="12" t="s">
        <v>918</v>
      </c>
      <c r="N1830" s="26">
        <v>1</v>
      </c>
      <c r="O1830" s="57">
        <v>1800000</v>
      </c>
      <c r="P1830" s="62">
        <f t="shared" si="45"/>
        <v>1800000</v>
      </c>
      <c r="Q1830" s="6" t="s">
        <v>397</v>
      </c>
      <c r="R1830" s="6" t="s">
        <v>770</v>
      </c>
      <c r="S1830" s="38" t="s">
        <v>1025</v>
      </c>
      <c r="T1830" s="6">
        <v>0</v>
      </c>
    </row>
    <row r="1831" spans="1:20" s="14" customFormat="1" ht="76.5">
      <c r="A1831" s="2"/>
      <c r="B1831" s="6">
        <v>1815</v>
      </c>
      <c r="C1831" s="36" t="s">
        <v>714</v>
      </c>
      <c r="D1831" s="52" t="s">
        <v>601</v>
      </c>
      <c r="E1831" s="38" t="s">
        <v>602</v>
      </c>
      <c r="F1831" s="70" t="s">
        <v>603</v>
      </c>
      <c r="G1831" s="70" t="s">
        <v>786</v>
      </c>
      <c r="H1831" s="70" t="s">
        <v>605</v>
      </c>
      <c r="I1831" s="70" t="s">
        <v>606</v>
      </c>
      <c r="J1831" s="70" t="s">
        <v>909</v>
      </c>
      <c r="K1831" s="70" t="s">
        <v>322</v>
      </c>
      <c r="L1831" s="70" t="s">
        <v>595</v>
      </c>
      <c r="M1831" s="12" t="s">
        <v>918</v>
      </c>
      <c r="N1831" s="26">
        <v>1</v>
      </c>
      <c r="O1831" s="57">
        <v>1800000</v>
      </c>
      <c r="P1831" s="62">
        <f t="shared" si="45"/>
        <v>1800000</v>
      </c>
      <c r="Q1831" s="6" t="s">
        <v>397</v>
      </c>
      <c r="R1831" s="6" t="s">
        <v>770</v>
      </c>
      <c r="S1831" s="38" t="s">
        <v>1025</v>
      </c>
      <c r="T1831" s="6">
        <v>0</v>
      </c>
    </row>
    <row r="1832" spans="1:20" s="14" customFormat="1" ht="76.5">
      <c r="A1832" s="2"/>
      <c r="B1832" s="6">
        <v>1816</v>
      </c>
      <c r="C1832" s="36" t="s">
        <v>714</v>
      </c>
      <c r="D1832" s="6" t="s">
        <v>601</v>
      </c>
      <c r="E1832" s="38" t="s">
        <v>1049</v>
      </c>
      <c r="F1832" s="70" t="s">
        <v>2221</v>
      </c>
      <c r="G1832" s="70" t="s">
        <v>1050</v>
      </c>
      <c r="H1832" s="70" t="s">
        <v>2221</v>
      </c>
      <c r="I1832" s="70" t="s">
        <v>1051</v>
      </c>
      <c r="J1832" s="70" t="s">
        <v>2222</v>
      </c>
      <c r="K1832" s="70" t="s">
        <v>328</v>
      </c>
      <c r="L1832" s="70" t="s">
        <v>595</v>
      </c>
      <c r="M1832" s="12" t="s">
        <v>918</v>
      </c>
      <c r="N1832" s="26">
        <v>1</v>
      </c>
      <c r="O1832" s="57">
        <v>1800000</v>
      </c>
      <c r="P1832" s="62">
        <f t="shared" si="45"/>
        <v>1800000</v>
      </c>
      <c r="Q1832" s="6" t="s">
        <v>397</v>
      </c>
      <c r="R1832" s="6" t="s">
        <v>770</v>
      </c>
      <c r="S1832" s="38" t="s">
        <v>1025</v>
      </c>
      <c r="T1832" s="6">
        <v>0</v>
      </c>
    </row>
    <row r="1833" spans="1:20" s="45" customFormat="1" ht="51">
      <c r="A1833" s="44"/>
      <c r="B1833" s="6">
        <v>1817</v>
      </c>
      <c r="C1833" s="36" t="s">
        <v>714</v>
      </c>
      <c r="D1833" s="43" t="s">
        <v>601</v>
      </c>
      <c r="E1833" s="38" t="s">
        <v>941</v>
      </c>
      <c r="F1833" s="70" t="s">
        <v>2213</v>
      </c>
      <c r="G1833" s="70" t="s">
        <v>942</v>
      </c>
      <c r="H1833" s="70" t="s">
        <v>2213</v>
      </c>
      <c r="I1833" s="70" t="s">
        <v>942</v>
      </c>
      <c r="J1833" s="70" t="s">
        <v>2214</v>
      </c>
      <c r="K1833" s="70" t="s">
        <v>319</v>
      </c>
      <c r="L1833" s="70" t="s">
        <v>595</v>
      </c>
      <c r="M1833" s="12" t="s">
        <v>918</v>
      </c>
      <c r="N1833" s="26">
        <v>1</v>
      </c>
      <c r="O1833" s="57">
        <v>1800000</v>
      </c>
      <c r="P1833" s="62">
        <f t="shared" si="45"/>
        <v>1800000</v>
      </c>
      <c r="Q1833" s="6" t="s">
        <v>397</v>
      </c>
      <c r="R1833" s="6" t="s">
        <v>770</v>
      </c>
      <c r="S1833" s="38" t="s">
        <v>2032</v>
      </c>
      <c r="T1833" s="26">
        <v>0</v>
      </c>
    </row>
    <row r="1834" spans="1:20" s="45" customFormat="1" ht="76.5">
      <c r="A1834" s="44"/>
      <c r="B1834" s="6">
        <v>1818</v>
      </c>
      <c r="C1834" s="36" t="s">
        <v>714</v>
      </c>
      <c r="D1834" s="6" t="s">
        <v>601</v>
      </c>
      <c r="E1834" s="38" t="s">
        <v>602</v>
      </c>
      <c r="F1834" s="70" t="s">
        <v>603</v>
      </c>
      <c r="G1834" s="70" t="s">
        <v>786</v>
      </c>
      <c r="H1834" s="70" t="s">
        <v>605</v>
      </c>
      <c r="I1834" s="70" t="s">
        <v>606</v>
      </c>
      <c r="J1834" s="70" t="s">
        <v>787</v>
      </c>
      <c r="K1834" s="70" t="s">
        <v>320</v>
      </c>
      <c r="L1834" s="70" t="s">
        <v>595</v>
      </c>
      <c r="M1834" s="12" t="s">
        <v>918</v>
      </c>
      <c r="N1834" s="26">
        <v>1</v>
      </c>
      <c r="O1834" s="57">
        <v>1800000</v>
      </c>
      <c r="P1834" s="62">
        <f t="shared" si="45"/>
        <v>1800000</v>
      </c>
      <c r="Q1834" s="6" t="s">
        <v>397</v>
      </c>
      <c r="R1834" s="6" t="s">
        <v>770</v>
      </c>
      <c r="S1834" s="38" t="s">
        <v>2032</v>
      </c>
      <c r="T1834" s="26">
        <v>0</v>
      </c>
    </row>
    <row r="1835" spans="1:20" s="45" customFormat="1" ht="76.5">
      <c r="A1835" s="44"/>
      <c r="B1835" s="6">
        <v>1819</v>
      </c>
      <c r="C1835" s="36" t="s">
        <v>714</v>
      </c>
      <c r="D1835" s="6" t="s">
        <v>601</v>
      </c>
      <c r="E1835" s="38" t="s">
        <v>602</v>
      </c>
      <c r="F1835" s="70" t="s">
        <v>603</v>
      </c>
      <c r="G1835" s="70" t="s">
        <v>786</v>
      </c>
      <c r="H1835" s="70" t="s">
        <v>605</v>
      </c>
      <c r="I1835" s="70" t="s">
        <v>606</v>
      </c>
      <c r="J1835" s="70" t="s">
        <v>788</v>
      </c>
      <c r="K1835" s="70" t="s">
        <v>321</v>
      </c>
      <c r="L1835" s="70" t="s">
        <v>595</v>
      </c>
      <c r="M1835" s="12" t="s">
        <v>918</v>
      </c>
      <c r="N1835" s="26">
        <v>1</v>
      </c>
      <c r="O1835" s="57">
        <v>1800000</v>
      </c>
      <c r="P1835" s="62">
        <f t="shared" si="45"/>
        <v>1800000</v>
      </c>
      <c r="Q1835" s="6" t="s">
        <v>397</v>
      </c>
      <c r="R1835" s="6" t="s">
        <v>770</v>
      </c>
      <c r="S1835" s="38" t="s">
        <v>2032</v>
      </c>
      <c r="T1835" s="26">
        <v>0</v>
      </c>
    </row>
    <row r="1836" spans="1:20" s="45" customFormat="1" ht="76.5">
      <c r="A1836" s="44"/>
      <c r="B1836" s="6">
        <v>1820</v>
      </c>
      <c r="C1836" s="36" t="s">
        <v>714</v>
      </c>
      <c r="D1836" s="52" t="s">
        <v>601</v>
      </c>
      <c r="E1836" s="38" t="s">
        <v>602</v>
      </c>
      <c r="F1836" s="70" t="s">
        <v>603</v>
      </c>
      <c r="G1836" s="70" t="s">
        <v>786</v>
      </c>
      <c r="H1836" s="70" t="s">
        <v>605</v>
      </c>
      <c r="I1836" s="70" t="s">
        <v>606</v>
      </c>
      <c r="J1836" s="70" t="s">
        <v>909</v>
      </c>
      <c r="K1836" s="70" t="s">
        <v>322</v>
      </c>
      <c r="L1836" s="70" t="s">
        <v>595</v>
      </c>
      <c r="M1836" s="12" t="s">
        <v>918</v>
      </c>
      <c r="N1836" s="26">
        <v>1</v>
      </c>
      <c r="O1836" s="57">
        <v>1800000</v>
      </c>
      <c r="P1836" s="62">
        <f t="shared" si="45"/>
        <v>1800000</v>
      </c>
      <c r="Q1836" s="6" t="s">
        <v>397</v>
      </c>
      <c r="R1836" s="6" t="s">
        <v>770</v>
      </c>
      <c r="S1836" s="38" t="s">
        <v>2032</v>
      </c>
      <c r="T1836" s="26">
        <v>0</v>
      </c>
    </row>
    <row r="1837" spans="1:20" s="45" customFormat="1" ht="76.5">
      <c r="A1837" s="44"/>
      <c r="B1837" s="6">
        <v>1821</v>
      </c>
      <c r="C1837" s="16" t="s">
        <v>714</v>
      </c>
      <c r="D1837" s="38" t="s">
        <v>601</v>
      </c>
      <c r="E1837" s="38" t="s">
        <v>602</v>
      </c>
      <c r="F1837" s="70" t="s">
        <v>603</v>
      </c>
      <c r="G1837" s="70" t="s">
        <v>604</v>
      </c>
      <c r="H1837" s="70" t="s">
        <v>605</v>
      </c>
      <c r="I1837" s="70" t="s">
        <v>606</v>
      </c>
      <c r="J1837" s="70" t="s">
        <v>2215</v>
      </c>
      <c r="K1837" s="70" t="s">
        <v>329</v>
      </c>
      <c r="L1837" s="70" t="s">
        <v>595</v>
      </c>
      <c r="M1837" s="12" t="s">
        <v>918</v>
      </c>
      <c r="N1837" s="26">
        <v>1</v>
      </c>
      <c r="O1837" s="57">
        <v>1800000</v>
      </c>
      <c r="P1837" s="62">
        <f t="shared" si="45"/>
        <v>1800000</v>
      </c>
      <c r="Q1837" s="6" t="s">
        <v>397</v>
      </c>
      <c r="R1837" s="6" t="s">
        <v>770</v>
      </c>
      <c r="S1837" s="38" t="s">
        <v>2032</v>
      </c>
      <c r="T1837" s="26">
        <v>0</v>
      </c>
    </row>
    <row r="1838" spans="1:20" s="14" customFormat="1" ht="51">
      <c r="A1838" s="2"/>
      <c r="B1838" s="6">
        <v>1822</v>
      </c>
      <c r="C1838" s="36" t="s">
        <v>714</v>
      </c>
      <c r="D1838" s="43" t="s">
        <v>601</v>
      </c>
      <c r="E1838" s="38" t="s">
        <v>941</v>
      </c>
      <c r="F1838" s="70" t="s">
        <v>2213</v>
      </c>
      <c r="G1838" s="70" t="s">
        <v>942</v>
      </c>
      <c r="H1838" s="70" t="s">
        <v>2213</v>
      </c>
      <c r="I1838" s="70" t="s">
        <v>942</v>
      </c>
      <c r="J1838" s="70" t="s">
        <v>2214</v>
      </c>
      <c r="K1838" s="70" t="s">
        <v>319</v>
      </c>
      <c r="L1838" s="70" t="s">
        <v>595</v>
      </c>
      <c r="M1838" s="12" t="s">
        <v>918</v>
      </c>
      <c r="N1838" s="26">
        <v>1</v>
      </c>
      <c r="O1838" s="57">
        <v>1800000</v>
      </c>
      <c r="P1838" s="62">
        <f t="shared" ref="P1838:P1873" si="46">N1838*O1838</f>
        <v>1800000</v>
      </c>
      <c r="Q1838" s="6" t="s">
        <v>397</v>
      </c>
      <c r="R1838" s="6" t="s">
        <v>770</v>
      </c>
      <c r="S1838" s="38">
        <v>431000000</v>
      </c>
      <c r="T1838" s="26">
        <v>0</v>
      </c>
    </row>
    <row r="1839" spans="1:20" s="14" customFormat="1" ht="76.5">
      <c r="A1839" s="2"/>
      <c r="B1839" s="6">
        <v>1823</v>
      </c>
      <c r="C1839" s="36" t="s">
        <v>714</v>
      </c>
      <c r="D1839" s="6" t="s">
        <v>601</v>
      </c>
      <c r="E1839" s="38" t="s">
        <v>602</v>
      </c>
      <c r="F1839" s="70" t="s">
        <v>603</v>
      </c>
      <c r="G1839" s="70" t="s">
        <v>786</v>
      </c>
      <c r="H1839" s="70" t="s">
        <v>605</v>
      </c>
      <c r="I1839" s="70" t="s">
        <v>606</v>
      </c>
      <c r="J1839" s="70" t="s">
        <v>787</v>
      </c>
      <c r="K1839" s="70" t="s">
        <v>320</v>
      </c>
      <c r="L1839" s="70" t="s">
        <v>595</v>
      </c>
      <c r="M1839" s="12" t="s">
        <v>918</v>
      </c>
      <c r="N1839" s="26">
        <v>1</v>
      </c>
      <c r="O1839" s="57">
        <v>1800000</v>
      </c>
      <c r="P1839" s="62">
        <f t="shared" si="46"/>
        <v>1800000</v>
      </c>
      <c r="Q1839" s="6" t="s">
        <v>397</v>
      </c>
      <c r="R1839" s="6" t="s">
        <v>770</v>
      </c>
      <c r="S1839" s="38">
        <v>431000000</v>
      </c>
      <c r="T1839" s="26">
        <v>0</v>
      </c>
    </row>
    <row r="1840" spans="1:20" s="14" customFormat="1" ht="76.5">
      <c r="A1840" s="2"/>
      <c r="B1840" s="6">
        <v>1824</v>
      </c>
      <c r="C1840" s="36" t="s">
        <v>714</v>
      </c>
      <c r="D1840" s="6" t="s">
        <v>601</v>
      </c>
      <c r="E1840" s="38" t="s">
        <v>602</v>
      </c>
      <c r="F1840" s="70" t="s">
        <v>603</v>
      </c>
      <c r="G1840" s="70" t="s">
        <v>786</v>
      </c>
      <c r="H1840" s="70" t="s">
        <v>605</v>
      </c>
      <c r="I1840" s="70" t="s">
        <v>606</v>
      </c>
      <c r="J1840" s="70" t="s">
        <v>788</v>
      </c>
      <c r="K1840" s="70" t="s">
        <v>321</v>
      </c>
      <c r="L1840" s="70" t="s">
        <v>595</v>
      </c>
      <c r="M1840" s="12" t="s">
        <v>918</v>
      </c>
      <c r="N1840" s="26">
        <v>1</v>
      </c>
      <c r="O1840" s="57">
        <v>1800000</v>
      </c>
      <c r="P1840" s="62">
        <f t="shared" si="46"/>
        <v>1800000</v>
      </c>
      <c r="Q1840" s="6" t="s">
        <v>397</v>
      </c>
      <c r="R1840" s="6" t="s">
        <v>770</v>
      </c>
      <c r="S1840" s="38">
        <v>431000000</v>
      </c>
      <c r="T1840" s="26">
        <v>0</v>
      </c>
    </row>
    <row r="1841" spans="1:20" s="14" customFormat="1" ht="76.5">
      <c r="A1841" s="2"/>
      <c r="B1841" s="6">
        <v>1825</v>
      </c>
      <c r="C1841" s="36" t="s">
        <v>714</v>
      </c>
      <c r="D1841" s="52" t="s">
        <v>601</v>
      </c>
      <c r="E1841" s="38" t="s">
        <v>602</v>
      </c>
      <c r="F1841" s="70" t="s">
        <v>603</v>
      </c>
      <c r="G1841" s="70" t="s">
        <v>786</v>
      </c>
      <c r="H1841" s="70" t="s">
        <v>605</v>
      </c>
      <c r="I1841" s="70" t="s">
        <v>606</v>
      </c>
      <c r="J1841" s="70" t="s">
        <v>909</v>
      </c>
      <c r="K1841" s="70" t="s">
        <v>322</v>
      </c>
      <c r="L1841" s="70" t="s">
        <v>595</v>
      </c>
      <c r="M1841" s="12" t="s">
        <v>918</v>
      </c>
      <c r="N1841" s="26">
        <v>1</v>
      </c>
      <c r="O1841" s="57">
        <v>1800000</v>
      </c>
      <c r="P1841" s="62">
        <f t="shared" si="46"/>
        <v>1800000</v>
      </c>
      <c r="Q1841" s="6" t="s">
        <v>397</v>
      </c>
      <c r="R1841" s="6" t="s">
        <v>770</v>
      </c>
      <c r="S1841" s="38">
        <v>431000000</v>
      </c>
      <c r="T1841" s="26">
        <v>0</v>
      </c>
    </row>
    <row r="1842" spans="1:20" s="14" customFormat="1" ht="76.5">
      <c r="A1842" s="2"/>
      <c r="B1842" s="6">
        <v>1826</v>
      </c>
      <c r="C1842" s="16" t="s">
        <v>714</v>
      </c>
      <c r="D1842" s="38" t="s">
        <v>601</v>
      </c>
      <c r="E1842" s="38" t="s">
        <v>602</v>
      </c>
      <c r="F1842" s="70" t="s">
        <v>603</v>
      </c>
      <c r="G1842" s="70" t="s">
        <v>604</v>
      </c>
      <c r="H1842" s="70" t="s">
        <v>605</v>
      </c>
      <c r="I1842" s="70" t="s">
        <v>606</v>
      </c>
      <c r="J1842" s="70" t="s">
        <v>2220</v>
      </c>
      <c r="K1842" s="70" t="s">
        <v>330</v>
      </c>
      <c r="L1842" s="70" t="s">
        <v>595</v>
      </c>
      <c r="M1842" s="12" t="s">
        <v>918</v>
      </c>
      <c r="N1842" s="26">
        <v>1</v>
      </c>
      <c r="O1842" s="57">
        <v>1800000</v>
      </c>
      <c r="P1842" s="62">
        <f t="shared" si="46"/>
        <v>1800000</v>
      </c>
      <c r="Q1842" s="6" t="s">
        <v>397</v>
      </c>
      <c r="R1842" s="6" t="s">
        <v>770</v>
      </c>
      <c r="S1842" s="38">
        <v>431000000</v>
      </c>
      <c r="T1842" s="26">
        <v>0</v>
      </c>
    </row>
    <row r="1843" spans="1:20" ht="50.25" customHeight="1">
      <c r="B1843" s="6">
        <v>1827</v>
      </c>
      <c r="C1843" s="36" t="s">
        <v>714</v>
      </c>
      <c r="D1843" s="43" t="s">
        <v>601</v>
      </c>
      <c r="E1843" s="38" t="s">
        <v>941</v>
      </c>
      <c r="F1843" s="70" t="s">
        <v>2213</v>
      </c>
      <c r="G1843" s="70" t="s">
        <v>942</v>
      </c>
      <c r="H1843" s="70" t="s">
        <v>2213</v>
      </c>
      <c r="I1843" s="70" t="s">
        <v>942</v>
      </c>
      <c r="J1843" s="70" t="s">
        <v>2214</v>
      </c>
      <c r="K1843" s="70" t="s">
        <v>319</v>
      </c>
      <c r="L1843" s="70" t="s">
        <v>595</v>
      </c>
      <c r="M1843" s="12" t="s">
        <v>918</v>
      </c>
      <c r="N1843" s="26">
        <v>1</v>
      </c>
      <c r="O1843" s="57">
        <v>1800000</v>
      </c>
      <c r="P1843" s="62">
        <f t="shared" si="46"/>
        <v>1800000</v>
      </c>
      <c r="Q1843" s="6" t="s">
        <v>397</v>
      </c>
      <c r="R1843" s="6" t="s">
        <v>770</v>
      </c>
      <c r="S1843" s="38" t="s">
        <v>719</v>
      </c>
      <c r="T1843" s="26">
        <v>0</v>
      </c>
    </row>
    <row r="1844" spans="1:20" ht="65.25" customHeight="1">
      <c r="B1844" s="6">
        <v>1828</v>
      </c>
      <c r="C1844" s="36" t="s">
        <v>714</v>
      </c>
      <c r="D1844" s="6" t="s">
        <v>601</v>
      </c>
      <c r="E1844" s="38" t="s">
        <v>602</v>
      </c>
      <c r="F1844" s="70" t="s">
        <v>603</v>
      </c>
      <c r="G1844" s="70" t="s">
        <v>786</v>
      </c>
      <c r="H1844" s="70" t="s">
        <v>605</v>
      </c>
      <c r="I1844" s="70" t="s">
        <v>606</v>
      </c>
      <c r="J1844" s="70" t="s">
        <v>787</v>
      </c>
      <c r="K1844" s="70" t="s">
        <v>320</v>
      </c>
      <c r="L1844" s="70" t="s">
        <v>595</v>
      </c>
      <c r="M1844" s="12" t="s">
        <v>918</v>
      </c>
      <c r="N1844" s="26">
        <v>1</v>
      </c>
      <c r="O1844" s="57">
        <v>1800000</v>
      </c>
      <c r="P1844" s="62">
        <f t="shared" si="46"/>
        <v>1800000</v>
      </c>
      <c r="Q1844" s="6" t="s">
        <v>397</v>
      </c>
      <c r="R1844" s="6" t="s">
        <v>770</v>
      </c>
      <c r="S1844" s="38" t="s">
        <v>719</v>
      </c>
      <c r="T1844" s="26">
        <v>0</v>
      </c>
    </row>
    <row r="1845" spans="1:20" ht="57" customHeight="1">
      <c r="B1845" s="6">
        <v>1829</v>
      </c>
      <c r="C1845" s="36" t="s">
        <v>714</v>
      </c>
      <c r="D1845" s="6" t="s">
        <v>601</v>
      </c>
      <c r="E1845" s="38" t="s">
        <v>602</v>
      </c>
      <c r="F1845" s="70" t="s">
        <v>603</v>
      </c>
      <c r="G1845" s="70" t="s">
        <v>786</v>
      </c>
      <c r="H1845" s="70" t="s">
        <v>605</v>
      </c>
      <c r="I1845" s="70" t="s">
        <v>606</v>
      </c>
      <c r="J1845" s="70" t="s">
        <v>788</v>
      </c>
      <c r="K1845" s="70" t="s">
        <v>321</v>
      </c>
      <c r="L1845" s="70" t="s">
        <v>595</v>
      </c>
      <c r="M1845" s="12" t="s">
        <v>918</v>
      </c>
      <c r="N1845" s="26">
        <v>1</v>
      </c>
      <c r="O1845" s="57">
        <v>1800000</v>
      </c>
      <c r="P1845" s="62">
        <f t="shared" si="46"/>
        <v>1800000</v>
      </c>
      <c r="Q1845" s="6" t="s">
        <v>395</v>
      </c>
      <c r="R1845" s="6" t="s">
        <v>770</v>
      </c>
      <c r="S1845" s="38" t="s">
        <v>719</v>
      </c>
      <c r="T1845" s="26">
        <v>0</v>
      </c>
    </row>
    <row r="1846" spans="1:20" ht="76.5">
      <c r="B1846" s="6">
        <v>1830</v>
      </c>
      <c r="C1846" s="36" t="s">
        <v>714</v>
      </c>
      <c r="D1846" s="52" t="s">
        <v>601</v>
      </c>
      <c r="E1846" s="38" t="s">
        <v>602</v>
      </c>
      <c r="F1846" s="70" t="s">
        <v>603</v>
      </c>
      <c r="G1846" s="70" t="s">
        <v>786</v>
      </c>
      <c r="H1846" s="70" t="s">
        <v>605</v>
      </c>
      <c r="I1846" s="70" t="s">
        <v>606</v>
      </c>
      <c r="J1846" s="70" t="s">
        <v>909</v>
      </c>
      <c r="K1846" s="70" t="s">
        <v>322</v>
      </c>
      <c r="L1846" s="70" t="s">
        <v>595</v>
      </c>
      <c r="M1846" s="12" t="s">
        <v>918</v>
      </c>
      <c r="N1846" s="26">
        <v>1</v>
      </c>
      <c r="O1846" s="57">
        <v>1800000</v>
      </c>
      <c r="P1846" s="62">
        <f t="shared" si="46"/>
        <v>1800000</v>
      </c>
      <c r="Q1846" s="6" t="s">
        <v>397</v>
      </c>
      <c r="R1846" s="6" t="s">
        <v>770</v>
      </c>
      <c r="S1846" s="38" t="s">
        <v>719</v>
      </c>
      <c r="T1846" s="26">
        <v>0</v>
      </c>
    </row>
    <row r="1847" spans="1:20" ht="72.75" customHeight="1">
      <c r="B1847" s="6">
        <v>1831</v>
      </c>
      <c r="C1847" s="36" t="s">
        <v>714</v>
      </c>
      <c r="D1847" s="6" t="s">
        <v>601</v>
      </c>
      <c r="E1847" s="38" t="s">
        <v>602</v>
      </c>
      <c r="F1847" s="70" t="s">
        <v>603</v>
      </c>
      <c r="G1847" s="70" t="s">
        <v>786</v>
      </c>
      <c r="H1847" s="70" t="s">
        <v>605</v>
      </c>
      <c r="I1847" s="70" t="s">
        <v>606</v>
      </c>
      <c r="J1847" s="70" t="s">
        <v>2219</v>
      </c>
      <c r="K1847" s="70" t="s">
        <v>385</v>
      </c>
      <c r="L1847" s="70" t="s">
        <v>595</v>
      </c>
      <c r="M1847" s="12" t="s">
        <v>918</v>
      </c>
      <c r="N1847" s="26">
        <v>1</v>
      </c>
      <c r="O1847" s="57">
        <v>1800000</v>
      </c>
      <c r="P1847" s="62">
        <f t="shared" si="46"/>
        <v>1800000</v>
      </c>
      <c r="Q1847" s="6" t="s">
        <v>397</v>
      </c>
      <c r="R1847" s="6" t="s">
        <v>770</v>
      </c>
      <c r="S1847" s="38" t="s">
        <v>719</v>
      </c>
      <c r="T1847" s="26">
        <v>0</v>
      </c>
    </row>
    <row r="1848" spans="1:20" s="14" customFormat="1" ht="51">
      <c r="A1848" s="2"/>
      <c r="B1848" s="6">
        <v>1832</v>
      </c>
      <c r="C1848" s="36" t="s">
        <v>714</v>
      </c>
      <c r="D1848" s="43" t="s">
        <v>601</v>
      </c>
      <c r="E1848" s="38" t="s">
        <v>941</v>
      </c>
      <c r="F1848" s="70" t="s">
        <v>2213</v>
      </c>
      <c r="G1848" s="70" t="s">
        <v>942</v>
      </c>
      <c r="H1848" s="70" t="s">
        <v>2213</v>
      </c>
      <c r="I1848" s="70" t="s">
        <v>942</v>
      </c>
      <c r="J1848" s="70" t="s">
        <v>2214</v>
      </c>
      <c r="K1848" s="70" t="s">
        <v>319</v>
      </c>
      <c r="L1848" s="70" t="s">
        <v>595</v>
      </c>
      <c r="M1848" s="12" t="s">
        <v>918</v>
      </c>
      <c r="N1848" s="26">
        <v>1</v>
      </c>
      <c r="O1848" s="57">
        <v>1800000</v>
      </c>
      <c r="P1848" s="62">
        <f t="shared" si="46"/>
        <v>1800000</v>
      </c>
      <c r="Q1848" s="6" t="s">
        <v>397</v>
      </c>
      <c r="R1848" s="6" t="s">
        <v>770</v>
      </c>
      <c r="S1848" s="38" t="s">
        <v>793</v>
      </c>
      <c r="T1848" s="6">
        <v>0</v>
      </c>
    </row>
    <row r="1849" spans="1:20" s="14" customFormat="1" ht="76.5">
      <c r="A1849" s="2"/>
      <c r="B1849" s="6">
        <v>1833</v>
      </c>
      <c r="C1849" s="36" t="s">
        <v>714</v>
      </c>
      <c r="D1849" s="6" t="s">
        <v>601</v>
      </c>
      <c r="E1849" s="38" t="s">
        <v>602</v>
      </c>
      <c r="F1849" s="70" t="s">
        <v>603</v>
      </c>
      <c r="G1849" s="70" t="s">
        <v>786</v>
      </c>
      <c r="H1849" s="70" t="s">
        <v>605</v>
      </c>
      <c r="I1849" s="70" t="s">
        <v>606</v>
      </c>
      <c r="J1849" s="70" t="s">
        <v>787</v>
      </c>
      <c r="K1849" s="70" t="s">
        <v>320</v>
      </c>
      <c r="L1849" s="70" t="s">
        <v>595</v>
      </c>
      <c r="M1849" s="12" t="s">
        <v>918</v>
      </c>
      <c r="N1849" s="26">
        <v>1</v>
      </c>
      <c r="O1849" s="57">
        <v>1800000</v>
      </c>
      <c r="P1849" s="62">
        <f t="shared" si="46"/>
        <v>1800000</v>
      </c>
      <c r="Q1849" s="6" t="s">
        <v>397</v>
      </c>
      <c r="R1849" s="6" t="s">
        <v>770</v>
      </c>
      <c r="S1849" s="38" t="s">
        <v>793</v>
      </c>
      <c r="T1849" s="6">
        <v>0</v>
      </c>
    </row>
    <row r="1850" spans="1:20" s="14" customFormat="1" ht="76.5">
      <c r="A1850" s="2"/>
      <c r="B1850" s="6">
        <v>1834</v>
      </c>
      <c r="C1850" s="36" t="s">
        <v>714</v>
      </c>
      <c r="D1850" s="6" t="s">
        <v>601</v>
      </c>
      <c r="E1850" s="38" t="s">
        <v>602</v>
      </c>
      <c r="F1850" s="70" t="s">
        <v>603</v>
      </c>
      <c r="G1850" s="70" t="s">
        <v>786</v>
      </c>
      <c r="H1850" s="70" t="s">
        <v>605</v>
      </c>
      <c r="I1850" s="70" t="s">
        <v>606</v>
      </c>
      <c r="J1850" s="70" t="s">
        <v>788</v>
      </c>
      <c r="K1850" s="70" t="s">
        <v>321</v>
      </c>
      <c r="L1850" s="70" t="s">
        <v>595</v>
      </c>
      <c r="M1850" s="12" t="s">
        <v>918</v>
      </c>
      <c r="N1850" s="26">
        <v>1</v>
      </c>
      <c r="O1850" s="57">
        <v>1800000</v>
      </c>
      <c r="P1850" s="62">
        <f t="shared" si="46"/>
        <v>1800000</v>
      </c>
      <c r="Q1850" s="6" t="s">
        <v>397</v>
      </c>
      <c r="R1850" s="6" t="s">
        <v>770</v>
      </c>
      <c r="S1850" s="38" t="s">
        <v>793</v>
      </c>
      <c r="T1850" s="6">
        <v>0</v>
      </c>
    </row>
    <row r="1851" spans="1:20" s="14" customFormat="1" ht="63.75">
      <c r="A1851" s="2"/>
      <c r="B1851" s="6">
        <v>1835</v>
      </c>
      <c r="C1851" s="16" t="s">
        <v>714</v>
      </c>
      <c r="D1851" s="38" t="s">
        <v>601</v>
      </c>
      <c r="E1851" s="38" t="s">
        <v>602</v>
      </c>
      <c r="F1851" s="70" t="s">
        <v>2206</v>
      </c>
      <c r="G1851" s="70" t="s">
        <v>604</v>
      </c>
      <c r="H1851" s="70" t="s">
        <v>2207</v>
      </c>
      <c r="I1851" s="70" t="s">
        <v>606</v>
      </c>
      <c r="J1851" s="70" t="s">
        <v>2212</v>
      </c>
      <c r="K1851" s="70" t="s">
        <v>326</v>
      </c>
      <c r="L1851" s="70" t="s">
        <v>595</v>
      </c>
      <c r="M1851" s="12" t="s">
        <v>918</v>
      </c>
      <c r="N1851" s="26">
        <v>1</v>
      </c>
      <c r="O1851" s="57">
        <v>1800000</v>
      </c>
      <c r="P1851" s="62">
        <f t="shared" si="46"/>
        <v>1800000</v>
      </c>
      <c r="Q1851" s="6" t="s">
        <v>397</v>
      </c>
      <c r="R1851" s="6" t="s">
        <v>770</v>
      </c>
      <c r="S1851" s="38" t="s">
        <v>793</v>
      </c>
      <c r="T1851" s="6">
        <v>0</v>
      </c>
    </row>
    <row r="1852" spans="1:20" s="14" customFormat="1" ht="76.5">
      <c r="A1852" s="2"/>
      <c r="B1852" s="6">
        <v>1836</v>
      </c>
      <c r="C1852" s="36" t="s">
        <v>714</v>
      </c>
      <c r="D1852" s="52" t="s">
        <v>601</v>
      </c>
      <c r="E1852" s="38" t="s">
        <v>602</v>
      </c>
      <c r="F1852" s="70" t="s">
        <v>603</v>
      </c>
      <c r="G1852" s="70" t="s">
        <v>786</v>
      </c>
      <c r="H1852" s="70" t="s">
        <v>605</v>
      </c>
      <c r="I1852" s="70" t="s">
        <v>606</v>
      </c>
      <c r="J1852" s="70" t="s">
        <v>909</v>
      </c>
      <c r="K1852" s="70" t="s">
        <v>322</v>
      </c>
      <c r="L1852" s="70" t="s">
        <v>595</v>
      </c>
      <c r="M1852" s="12" t="s">
        <v>918</v>
      </c>
      <c r="N1852" s="26">
        <v>1</v>
      </c>
      <c r="O1852" s="57">
        <v>1800000</v>
      </c>
      <c r="P1852" s="62">
        <f t="shared" si="46"/>
        <v>1800000</v>
      </c>
      <c r="Q1852" s="6" t="s">
        <v>397</v>
      </c>
      <c r="R1852" s="6" t="s">
        <v>770</v>
      </c>
      <c r="S1852" s="38" t="s">
        <v>793</v>
      </c>
      <c r="T1852" s="6">
        <v>0</v>
      </c>
    </row>
    <row r="1853" spans="1:20" s="14" customFormat="1" ht="51">
      <c r="A1853" s="2"/>
      <c r="B1853" s="6">
        <v>1837</v>
      </c>
      <c r="C1853" s="36" t="s">
        <v>714</v>
      </c>
      <c r="D1853" s="43" t="s">
        <v>601</v>
      </c>
      <c r="E1853" s="38" t="s">
        <v>941</v>
      </c>
      <c r="F1853" s="70" t="s">
        <v>2213</v>
      </c>
      <c r="G1853" s="70" t="s">
        <v>942</v>
      </c>
      <c r="H1853" s="70" t="s">
        <v>2213</v>
      </c>
      <c r="I1853" s="70" t="s">
        <v>942</v>
      </c>
      <c r="J1853" s="70" t="s">
        <v>2214</v>
      </c>
      <c r="K1853" s="70" t="s">
        <v>319</v>
      </c>
      <c r="L1853" s="70" t="s">
        <v>595</v>
      </c>
      <c r="M1853" s="12" t="s">
        <v>918</v>
      </c>
      <c r="N1853" s="26">
        <v>1</v>
      </c>
      <c r="O1853" s="57">
        <v>3300000</v>
      </c>
      <c r="P1853" s="62">
        <f t="shared" si="46"/>
        <v>3300000</v>
      </c>
      <c r="Q1853" s="6" t="s">
        <v>397</v>
      </c>
      <c r="R1853" s="6" t="s">
        <v>770</v>
      </c>
      <c r="S1853" s="38" t="s">
        <v>2030</v>
      </c>
      <c r="T1853" s="26">
        <v>0</v>
      </c>
    </row>
    <row r="1854" spans="1:20" s="14" customFormat="1" ht="76.5">
      <c r="A1854" s="2"/>
      <c r="B1854" s="6">
        <v>1838</v>
      </c>
      <c r="C1854" s="36" t="s">
        <v>714</v>
      </c>
      <c r="D1854" s="6" t="s">
        <v>601</v>
      </c>
      <c r="E1854" s="38" t="s">
        <v>602</v>
      </c>
      <c r="F1854" s="70" t="s">
        <v>603</v>
      </c>
      <c r="G1854" s="70" t="s">
        <v>786</v>
      </c>
      <c r="H1854" s="70" t="s">
        <v>605</v>
      </c>
      <c r="I1854" s="70" t="s">
        <v>606</v>
      </c>
      <c r="J1854" s="70" t="s">
        <v>787</v>
      </c>
      <c r="K1854" s="70" t="s">
        <v>320</v>
      </c>
      <c r="L1854" s="70" t="s">
        <v>595</v>
      </c>
      <c r="M1854" s="12" t="s">
        <v>918</v>
      </c>
      <c r="N1854" s="26">
        <v>1</v>
      </c>
      <c r="O1854" s="57">
        <v>3300000</v>
      </c>
      <c r="P1854" s="62">
        <f t="shared" si="46"/>
        <v>3300000</v>
      </c>
      <c r="Q1854" s="6" t="s">
        <v>397</v>
      </c>
      <c r="R1854" s="6" t="s">
        <v>770</v>
      </c>
      <c r="S1854" s="38" t="s">
        <v>2030</v>
      </c>
      <c r="T1854" s="26">
        <v>0</v>
      </c>
    </row>
    <row r="1855" spans="1:20" s="14" customFormat="1" ht="76.5">
      <c r="A1855" s="2"/>
      <c r="B1855" s="6">
        <v>1839</v>
      </c>
      <c r="C1855" s="36" t="s">
        <v>714</v>
      </c>
      <c r="D1855" s="6" t="s">
        <v>601</v>
      </c>
      <c r="E1855" s="38" t="s">
        <v>602</v>
      </c>
      <c r="F1855" s="70" t="s">
        <v>603</v>
      </c>
      <c r="G1855" s="70" t="s">
        <v>786</v>
      </c>
      <c r="H1855" s="70" t="s">
        <v>605</v>
      </c>
      <c r="I1855" s="70" t="s">
        <v>606</v>
      </c>
      <c r="J1855" s="70" t="s">
        <v>788</v>
      </c>
      <c r="K1855" s="70" t="s">
        <v>321</v>
      </c>
      <c r="L1855" s="70" t="s">
        <v>595</v>
      </c>
      <c r="M1855" s="12" t="s">
        <v>918</v>
      </c>
      <c r="N1855" s="26">
        <v>1</v>
      </c>
      <c r="O1855" s="57">
        <v>3300000</v>
      </c>
      <c r="P1855" s="62">
        <f t="shared" si="46"/>
        <v>3300000</v>
      </c>
      <c r="Q1855" s="6" t="s">
        <v>397</v>
      </c>
      <c r="R1855" s="6" t="s">
        <v>770</v>
      </c>
      <c r="S1855" s="38" t="s">
        <v>2030</v>
      </c>
      <c r="T1855" s="26">
        <v>0</v>
      </c>
    </row>
    <row r="1856" spans="1:20" s="14" customFormat="1" ht="76.5">
      <c r="A1856" s="2"/>
      <c r="B1856" s="6">
        <v>1840</v>
      </c>
      <c r="C1856" s="16" t="s">
        <v>714</v>
      </c>
      <c r="D1856" s="38" t="s">
        <v>601</v>
      </c>
      <c r="E1856" s="38" t="s">
        <v>602</v>
      </c>
      <c r="F1856" s="70" t="s">
        <v>603</v>
      </c>
      <c r="G1856" s="70" t="s">
        <v>786</v>
      </c>
      <c r="H1856" s="70" t="s">
        <v>605</v>
      </c>
      <c r="I1856" s="70" t="s">
        <v>606</v>
      </c>
      <c r="J1856" s="70" t="s">
        <v>2217</v>
      </c>
      <c r="K1856" s="70" t="s">
        <v>386</v>
      </c>
      <c r="L1856" s="70" t="s">
        <v>595</v>
      </c>
      <c r="M1856" s="12" t="s">
        <v>918</v>
      </c>
      <c r="N1856" s="26">
        <v>1</v>
      </c>
      <c r="O1856" s="57">
        <v>3300000</v>
      </c>
      <c r="P1856" s="62">
        <f t="shared" si="46"/>
        <v>3300000</v>
      </c>
      <c r="Q1856" s="6" t="s">
        <v>397</v>
      </c>
      <c r="R1856" s="6" t="s">
        <v>770</v>
      </c>
      <c r="S1856" s="38" t="s">
        <v>2030</v>
      </c>
      <c r="T1856" s="26">
        <v>0</v>
      </c>
    </row>
    <row r="1857" spans="1:20" s="14" customFormat="1" ht="76.5">
      <c r="A1857" s="2"/>
      <c r="B1857" s="6">
        <v>1841</v>
      </c>
      <c r="C1857" s="36" t="s">
        <v>714</v>
      </c>
      <c r="D1857" s="52" t="s">
        <v>601</v>
      </c>
      <c r="E1857" s="38" t="s">
        <v>602</v>
      </c>
      <c r="F1857" s="70" t="s">
        <v>603</v>
      </c>
      <c r="G1857" s="70" t="s">
        <v>786</v>
      </c>
      <c r="H1857" s="70" t="s">
        <v>605</v>
      </c>
      <c r="I1857" s="70" t="s">
        <v>606</v>
      </c>
      <c r="J1857" s="70" t="s">
        <v>909</v>
      </c>
      <c r="K1857" s="70" t="s">
        <v>322</v>
      </c>
      <c r="L1857" s="70" t="s">
        <v>595</v>
      </c>
      <c r="M1857" s="12" t="s">
        <v>918</v>
      </c>
      <c r="N1857" s="26">
        <v>1</v>
      </c>
      <c r="O1857" s="57">
        <v>2100000</v>
      </c>
      <c r="P1857" s="62">
        <f t="shared" si="46"/>
        <v>2100000</v>
      </c>
      <c r="Q1857" s="6" t="s">
        <v>397</v>
      </c>
      <c r="R1857" s="6" t="s">
        <v>770</v>
      </c>
      <c r="S1857" s="38" t="s">
        <v>2030</v>
      </c>
      <c r="T1857" s="26">
        <v>0</v>
      </c>
    </row>
    <row r="1858" spans="1:20" s="14" customFormat="1" ht="51">
      <c r="B1858" s="6">
        <v>1842</v>
      </c>
      <c r="C1858" s="36" t="s">
        <v>714</v>
      </c>
      <c r="D1858" s="43" t="s">
        <v>601</v>
      </c>
      <c r="E1858" s="38" t="s">
        <v>941</v>
      </c>
      <c r="F1858" s="70" t="s">
        <v>2213</v>
      </c>
      <c r="G1858" s="70" t="s">
        <v>942</v>
      </c>
      <c r="H1858" s="70" t="s">
        <v>2213</v>
      </c>
      <c r="I1858" s="70" t="s">
        <v>942</v>
      </c>
      <c r="J1858" s="70" t="s">
        <v>2214</v>
      </c>
      <c r="K1858" s="70" t="s">
        <v>319</v>
      </c>
      <c r="L1858" s="70" t="s">
        <v>595</v>
      </c>
      <c r="M1858" s="12" t="s">
        <v>918</v>
      </c>
      <c r="N1858" s="26">
        <v>1</v>
      </c>
      <c r="O1858" s="57">
        <v>3300000</v>
      </c>
      <c r="P1858" s="62">
        <f t="shared" si="46"/>
        <v>3300000</v>
      </c>
      <c r="Q1858" s="6" t="s">
        <v>397</v>
      </c>
      <c r="R1858" s="6" t="s">
        <v>770</v>
      </c>
      <c r="S1858" s="38" t="s">
        <v>2035</v>
      </c>
      <c r="T1858" s="26">
        <v>0</v>
      </c>
    </row>
    <row r="1859" spans="1:20" s="14" customFormat="1" ht="76.5">
      <c r="B1859" s="6">
        <v>1843</v>
      </c>
      <c r="C1859" s="36" t="s">
        <v>714</v>
      </c>
      <c r="D1859" s="6" t="s">
        <v>601</v>
      </c>
      <c r="E1859" s="38" t="s">
        <v>602</v>
      </c>
      <c r="F1859" s="70" t="s">
        <v>603</v>
      </c>
      <c r="G1859" s="70" t="s">
        <v>786</v>
      </c>
      <c r="H1859" s="70" t="s">
        <v>605</v>
      </c>
      <c r="I1859" s="70" t="s">
        <v>606</v>
      </c>
      <c r="J1859" s="70" t="s">
        <v>787</v>
      </c>
      <c r="K1859" s="70" t="s">
        <v>320</v>
      </c>
      <c r="L1859" s="70" t="s">
        <v>595</v>
      </c>
      <c r="M1859" s="12" t="s">
        <v>918</v>
      </c>
      <c r="N1859" s="26">
        <v>1</v>
      </c>
      <c r="O1859" s="57">
        <v>3300000</v>
      </c>
      <c r="P1859" s="62">
        <f t="shared" si="46"/>
        <v>3300000</v>
      </c>
      <c r="Q1859" s="6" t="s">
        <v>397</v>
      </c>
      <c r="R1859" s="6" t="s">
        <v>770</v>
      </c>
      <c r="S1859" s="38" t="s">
        <v>2035</v>
      </c>
      <c r="T1859" s="26">
        <v>0</v>
      </c>
    </row>
    <row r="1860" spans="1:20" s="14" customFormat="1" ht="76.5">
      <c r="B1860" s="6">
        <v>1844</v>
      </c>
      <c r="C1860" s="36" t="s">
        <v>714</v>
      </c>
      <c r="D1860" s="6" t="s">
        <v>601</v>
      </c>
      <c r="E1860" s="38" t="s">
        <v>602</v>
      </c>
      <c r="F1860" s="70" t="s">
        <v>603</v>
      </c>
      <c r="G1860" s="70" t="s">
        <v>786</v>
      </c>
      <c r="H1860" s="70" t="s">
        <v>605</v>
      </c>
      <c r="I1860" s="70" t="s">
        <v>606</v>
      </c>
      <c r="J1860" s="70" t="s">
        <v>2374</v>
      </c>
      <c r="K1860" s="70" t="s">
        <v>2375</v>
      </c>
      <c r="L1860" s="70" t="s">
        <v>595</v>
      </c>
      <c r="M1860" s="12" t="s">
        <v>918</v>
      </c>
      <c r="N1860" s="26">
        <v>1</v>
      </c>
      <c r="O1860" s="57">
        <v>3300000</v>
      </c>
      <c r="P1860" s="62">
        <f t="shared" si="46"/>
        <v>3300000</v>
      </c>
      <c r="Q1860" s="6" t="s">
        <v>397</v>
      </c>
      <c r="R1860" s="6" t="s">
        <v>770</v>
      </c>
      <c r="S1860" s="38" t="s">
        <v>2035</v>
      </c>
      <c r="T1860" s="26">
        <v>0</v>
      </c>
    </row>
    <row r="1861" spans="1:20" s="14" customFormat="1" ht="76.5">
      <c r="B1861" s="6">
        <v>1845</v>
      </c>
      <c r="C1861" s="36" t="s">
        <v>714</v>
      </c>
      <c r="D1861" s="52" t="s">
        <v>601</v>
      </c>
      <c r="E1861" s="38" t="s">
        <v>602</v>
      </c>
      <c r="F1861" s="70" t="s">
        <v>603</v>
      </c>
      <c r="G1861" s="70" t="s">
        <v>786</v>
      </c>
      <c r="H1861" s="70" t="s">
        <v>605</v>
      </c>
      <c r="I1861" s="70" t="s">
        <v>606</v>
      </c>
      <c r="J1861" s="70" t="s">
        <v>2376</v>
      </c>
      <c r="K1861" s="70" t="s">
        <v>2377</v>
      </c>
      <c r="L1861" s="70" t="s">
        <v>595</v>
      </c>
      <c r="M1861" s="12" t="s">
        <v>918</v>
      </c>
      <c r="N1861" s="26">
        <v>1</v>
      </c>
      <c r="O1861" s="57">
        <v>3300000</v>
      </c>
      <c r="P1861" s="62">
        <f t="shared" si="46"/>
        <v>3300000</v>
      </c>
      <c r="Q1861" s="6" t="s">
        <v>397</v>
      </c>
      <c r="R1861" s="6" t="s">
        <v>770</v>
      </c>
      <c r="S1861" s="38" t="s">
        <v>2035</v>
      </c>
      <c r="T1861" s="26">
        <v>0</v>
      </c>
    </row>
    <row r="1862" spans="1:20" s="14" customFormat="1" ht="76.5">
      <c r="B1862" s="6">
        <v>1846</v>
      </c>
      <c r="C1862" s="36" t="s">
        <v>714</v>
      </c>
      <c r="D1862" s="52" t="s">
        <v>601</v>
      </c>
      <c r="E1862" s="38" t="s">
        <v>602</v>
      </c>
      <c r="F1862" s="70" t="s">
        <v>603</v>
      </c>
      <c r="G1862" s="70" t="s">
        <v>786</v>
      </c>
      <c r="H1862" s="70" t="s">
        <v>605</v>
      </c>
      <c r="I1862" s="70" t="s">
        <v>606</v>
      </c>
      <c r="J1862" s="70" t="s">
        <v>909</v>
      </c>
      <c r="K1862" s="70" t="s">
        <v>322</v>
      </c>
      <c r="L1862" s="70" t="s">
        <v>595</v>
      </c>
      <c r="M1862" s="12" t="s">
        <v>918</v>
      </c>
      <c r="N1862" s="26">
        <v>1</v>
      </c>
      <c r="O1862" s="57">
        <v>2100000</v>
      </c>
      <c r="P1862" s="62">
        <f t="shared" si="46"/>
        <v>2100000</v>
      </c>
      <c r="Q1862" s="6" t="s">
        <v>397</v>
      </c>
      <c r="R1862" s="6" t="s">
        <v>770</v>
      </c>
      <c r="S1862" s="38" t="s">
        <v>2035</v>
      </c>
      <c r="T1862" s="26">
        <v>0</v>
      </c>
    </row>
    <row r="1863" spans="1:20" s="14" customFormat="1" ht="63.75">
      <c r="B1863" s="6">
        <v>1847</v>
      </c>
      <c r="C1863" s="16" t="s">
        <v>714</v>
      </c>
      <c r="D1863" s="38" t="s">
        <v>601</v>
      </c>
      <c r="E1863" s="38" t="s">
        <v>602</v>
      </c>
      <c r="F1863" s="70" t="s">
        <v>2209</v>
      </c>
      <c r="G1863" s="70" t="s">
        <v>604</v>
      </c>
      <c r="H1863" s="70" t="s">
        <v>2210</v>
      </c>
      <c r="I1863" s="70" t="s">
        <v>606</v>
      </c>
      <c r="J1863" s="70" t="s">
        <v>2211</v>
      </c>
      <c r="K1863" s="70" t="s">
        <v>331</v>
      </c>
      <c r="L1863" s="70" t="s">
        <v>595</v>
      </c>
      <c r="M1863" s="12" t="s">
        <v>918</v>
      </c>
      <c r="N1863" s="26">
        <v>1</v>
      </c>
      <c r="O1863" s="57">
        <v>2100000</v>
      </c>
      <c r="P1863" s="62">
        <f t="shared" si="46"/>
        <v>2100000</v>
      </c>
      <c r="Q1863" s="6" t="s">
        <v>397</v>
      </c>
      <c r="R1863" s="6" t="s">
        <v>770</v>
      </c>
      <c r="S1863" s="38" t="s">
        <v>2035</v>
      </c>
      <c r="T1863" s="26">
        <v>0</v>
      </c>
    </row>
    <row r="1864" spans="1:20" ht="51">
      <c r="B1864" s="6">
        <v>1848</v>
      </c>
      <c r="C1864" s="69" t="s">
        <v>714</v>
      </c>
      <c r="D1864" s="6" t="s">
        <v>601</v>
      </c>
      <c r="E1864" s="38" t="s">
        <v>706</v>
      </c>
      <c r="F1864" s="70" t="s">
        <v>781</v>
      </c>
      <c r="G1864" s="70" t="s">
        <v>707</v>
      </c>
      <c r="H1864" s="70" t="s">
        <v>781</v>
      </c>
      <c r="I1864" s="70" t="s">
        <v>707</v>
      </c>
      <c r="J1864" s="70" t="s">
        <v>2382</v>
      </c>
      <c r="K1864" s="70" t="s">
        <v>2383</v>
      </c>
      <c r="L1864" s="70" t="s">
        <v>595</v>
      </c>
      <c r="M1864" s="12" t="s">
        <v>918</v>
      </c>
      <c r="N1864" s="26">
        <v>1</v>
      </c>
      <c r="O1864" s="57">
        <v>690000</v>
      </c>
      <c r="P1864" s="62">
        <f t="shared" si="46"/>
        <v>690000</v>
      </c>
      <c r="Q1864" s="6" t="s">
        <v>397</v>
      </c>
      <c r="R1864" s="6" t="s">
        <v>1495</v>
      </c>
      <c r="S1864" s="38" t="s">
        <v>793</v>
      </c>
      <c r="T1864" s="26">
        <v>0</v>
      </c>
    </row>
    <row r="1865" spans="1:20" s="14" customFormat="1" ht="51">
      <c r="A1865" s="2"/>
      <c r="B1865" s="6">
        <v>1849</v>
      </c>
      <c r="C1865" s="36" t="s">
        <v>714</v>
      </c>
      <c r="D1865" s="6" t="s">
        <v>601</v>
      </c>
      <c r="E1865" s="38" t="s">
        <v>1520</v>
      </c>
      <c r="F1865" s="70" t="s">
        <v>1521</v>
      </c>
      <c r="G1865" s="70" t="s">
        <v>1517</v>
      </c>
      <c r="H1865" s="70" t="s">
        <v>1521</v>
      </c>
      <c r="I1865" s="70" t="s">
        <v>1517</v>
      </c>
      <c r="J1865" s="70" t="s">
        <v>1521</v>
      </c>
      <c r="K1865" s="70" t="s">
        <v>1517</v>
      </c>
      <c r="L1865" s="70" t="s">
        <v>595</v>
      </c>
      <c r="M1865" s="12" t="s">
        <v>918</v>
      </c>
      <c r="N1865" s="26">
        <v>1</v>
      </c>
      <c r="O1865" s="57">
        <v>249000</v>
      </c>
      <c r="P1865" s="62">
        <f t="shared" si="46"/>
        <v>249000</v>
      </c>
      <c r="Q1865" s="6" t="s">
        <v>397</v>
      </c>
      <c r="R1865" s="6" t="s">
        <v>770</v>
      </c>
      <c r="S1865" s="38" t="s">
        <v>793</v>
      </c>
      <c r="T1865" s="26">
        <v>0</v>
      </c>
    </row>
    <row r="1866" spans="1:20" s="14" customFormat="1" ht="38.25">
      <c r="A1866" s="2"/>
      <c r="B1866" s="6">
        <v>1850</v>
      </c>
      <c r="C1866" s="69" t="s">
        <v>714</v>
      </c>
      <c r="D1866" s="5" t="s">
        <v>601</v>
      </c>
      <c r="E1866" s="38" t="s">
        <v>613</v>
      </c>
      <c r="F1866" s="70" t="s">
        <v>614</v>
      </c>
      <c r="G1866" s="70" t="s">
        <v>615</v>
      </c>
      <c r="H1866" s="70" t="s">
        <v>614</v>
      </c>
      <c r="I1866" s="70" t="s">
        <v>615</v>
      </c>
      <c r="J1866" s="70" t="s">
        <v>614</v>
      </c>
      <c r="K1866" s="70" t="s">
        <v>615</v>
      </c>
      <c r="L1866" s="70" t="s">
        <v>595</v>
      </c>
      <c r="M1866" s="12" t="s">
        <v>918</v>
      </c>
      <c r="N1866" s="26">
        <v>1</v>
      </c>
      <c r="O1866" s="57">
        <v>653143</v>
      </c>
      <c r="P1866" s="62">
        <f t="shared" si="46"/>
        <v>653143</v>
      </c>
      <c r="Q1866" s="6" t="s">
        <v>397</v>
      </c>
      <c r="R1866" s="16" t="s">
        <v>616</v>
      </c>
      <c r="S1866" s="38">
        <v>431000000</v>
      </c>
      <c r="T1866" s="26">
        <v>0</v>
      </c>
    </row>
    <row r="1867" spans="1:20" s="14" customFormat="1" ht="51">
      <c r="B1867" s="6">
        <v>1851</v>
      </c>
      <c r="C1867" s="69" t="s">
        <v>714</v>
      </c>
      <c r="D1867" s="6" t="s">
        <v>601</v>
      </c>
      <c r="E1867" s="38" t="s">
        <v>2333</v>
      </c>
      <c r="F1867" s="70" t="s">
        <v>2335</v>
      </c>
      <c r="G1867" s="70" t="s">
        <v>2334</v>
      </c>
      <c r="H1867" s="70" t="s">
        <v>2335</v>
      </c>
      <c r="I1867" s="70" t="s">
        <v>2334</v>
      </c>
      <c r="J1867" s="70" t="s">
        <v>2336</v>
      </c>
      <c r="K1867" s="70" t="s">
        <v>1518</v>
      </c>
      <c r="L1867" s="70" t="s">
        <v>595</v>
      </c>
      <c r="M1867" s="6" t="s">
        <v>918</v>
      </c>
      <c r="N1867" s="26">
        <v>1</v>
      </c>
      <c r="O1867" s="57">
        <v>3214286</v>
      </c>
      <c r="P1867" s="62">
        <f t="shared" si="46"/>
        <v>3214286</v>
      </c>
      <c r="Q1867" s="6" t="s">
        <v>397</v>
      </c>
      <c r="R1867" s="6" t="s">
        <v>770</v>
      </c>
      <c r="S1867" s="38" t="s">
        <v>2035</v>
      </c>
      <c r="T1867" s="26">
        <v>0</v>
      </c>
    </row>
    <row r="1868" spans="1:20" ht="89.25">
      <c r="B1868" s="6">
        <v>1852</v>
      </c>
      <c r="C1868" s="16" t="s">
        <v>714</v>
      </c>
      <c r="D1868" s="6" t="s">
        <v>601</v>
      </c>
      <c r="E1868" s="38" t="s">
        <v>922</v>
      </c>
      <c r="F1868" s="70" t="s">
        <v>2106</v>
      </c>
      <c r="G1868" s="70" t="s">
        <v>923</v>
      </c>
      <c r="H1868" s="70" t="s">
        <v>2106</v>
      </c>
      <c r="I1868" s="70" t="s">
        <v>924</v>
      </c>
      <c r="J1868" s="70" t="s">
        <v>2107</v>
      </c>
      <c r="K1868" s="70" t="s">
        <v>1519</v>
      </c>
      <c r="L1868" s="70" t="s">
        <v>595</v>
      </c>
      <c r="M1868" s="12" t="s">
        <v>918</v>
      </c>
      <c r="N1868" s="26">
        <v>1</v>
      </c>
      <c r="O1868" s="57">
        <v>3600000</v>
      </c>
      <c r="P1868" s="62">
        <f t="shared" si="46"/>
        <v>3600000</v>
      </c>
      <c r="Q1868" s="6" t="s">
        <v>397</v>
      </c>
      <c r="R1868" s="6" t="s">
        <v>770</v>
      </c>
      <c r="S1868" s="38" t="s">
        <v>2031</v>
      </c>
      <c r="T1868" s="26">
        <v>0</v>
      </c>
    </row>
    <row r="1869" spans="1:20" ht="76.5">
      <c r="B1869" s="6">
        <v>1853</v>
      </c>
      <c r="C1869" s="16" t="s">
        <v>714</v>
      </c>
      <c r="D1869" s="6" t="s">
        <v>601</v>
      </c>
      <c r="E1869" s="38" t="s">
        <v>872</v>
      </c>
      <c r="F1869" s="70" t="s">
        <v>1881</v>
      </c>
      <c r="G1869" s="70" t="s">
        <v>873</v>
      </c>
      <c r="H1869" s="70" t="s">
        <v>1882</v>
      </c>
      <c r="I1869" s="70" t="s">
        <v>874</v>
      </c>
      <c r="J1869" s="70" t="s">
        <v>1880</v>
      </c>
      <c r="K1869" s="70" t="s">
        <v>72</v>
      </c>
      <c r="L1869" s="70" t="s">
        <v>595</v>
      </c>
      <c r="M1869" s="12" t="s">
        <v>918</v>
      </c>
      <c r="N1869" s="26">
        <v>1</v>
      </c>
      <c r="O1869" s="57">
        <v>180000</v>
      </c>
      <c r="P1869" s="62">
        <f t="shared" si="46"/>
        <v>180000</v>
      </c>
      <c r="Q1869" s="6" t="s">
        <v>397</v>
      </c>
      <c r="R1869" s="6" t="s">
        <v>770</v>
      </c>
      <c r="S1869" s="38" t="s">
        <v>2031</v>
      </c>
      <c r="T1869" s="26">
        <v>0</v>
      </c>
    </row>
    <row r="1870" spans="1:20" ht="51">
      <c r="B1870" s="6">
        <v>1854</v>
      </c>
      <c r="C1870" s="16" t="s">
        <v>714</v>
      </c>
      <c r="D1870" s="6" t="s">
        <v>601</v>
      </c>
      <c r="E1870" s="38" t="s">
        <v>565</v>
      </c>
      <c r="F1870" s="70" t="s">
        <v>566</v>
      </c>
      <c r="G1870" s="70" t="s">
        <v>567</v>
      </c>
      <c r="H1870" s="70" t="s">
        <v>568</v>
      </c>
      <c r="I1870" s="70" t="s">
        <v>569</v>
      </c>
      <c r="J1870" s="70" t="s">
        <v>566</v>
      </c>
      <c r="K1870" s="70" t="s">
        <v>73</v>
      </c>
      <c r="L1870" s="70" t="s">
        <v>595</v>
      </c>
      <c r="M1870" s="12" t="s">
        <v>918</v>
      </c>
      <c r="N1870" s="26">
        <v>1</v>
      </c>
      <c r="O1870" s="57">
        <v>180000</v>
      </c>
      <c r="P1870" s="62">
        <f t="shared" si="46"/>
        <v>180000</v>
      </c>
      <c r="Q1870" s="6" t="s">
        <v>397</v>
      </c>
      <c r="R1870" s="6" t="s">
        <v>770</v>
      </c>
      <c r="S1870" s="38" t="s">
        <v>2031</v>
      </c>
      <c r="T1870" s="26">
        <v>0</v>
      </c>
    </row>
    <row r="1871" spans="1:20" s="13" customFormat="1" ht="51">
      <c r="A1871" s="4"/>
      <c r="B1871" s="6">
        <v>1855</v>
      </c>
      <c r="C1871" s="16" t="s">
        <v>945</v>
      </c>
      <c r="D1871" s="5" t="s">
        <v>601</v>
      </c>
      <c r="E1871" s="38" t="s">
        <v>498</v>
      </c>
      <c r="F1871" s="70" t="s">
        <v>2075</v>
      </c>
      <c r="G1871" s="70" t="s">
        <v>500</v>
      </c>
      <c r="H1871" s="70" t="s">
        <v>2076</v>
      </c>
      <c r="I1871" s="70" t="s">
        <v>860</v>
      </c>
      <c r="J1871" s="70" t="s">
        <v>2077</v>
      </c>
      <c r="K1871" s="70" t="s">
        <v>124</v>
      </c>
      <c r="L1871" s="70" t="s">
        <v>595</v>
      </c>
      <c r="M1871" s="12" t="s">
        <v>918</v>
      </c>
      <c r="N1871" s="7">
        <v>1</v>
      </c>
      <c r="O1871" s="57">
        <v>3000000</v>
      </c>
      <c r="P1871" s="62">
        <f t="shared" si="46"/>
        <v>3000000</v>
      </c>
      <c r="Q1871" s="6" t="s">
        <v>397</v>
      </c>
      <c r="R1871" s="6" t="s">
        <v>770</v>
      </c>
      <c r="S1871" s="38" t="s">
        <v>2031</v>
      </c>
      <c r="T1871" s="7">
        <v>0</v>
      </c>
    </row>
    <row r="1872" spans="1:20" s="13" customFormat="1" ht="51">
      <c r="A1872" s="4"/>
      <c r="B1872" s="6">
        <v>1856</v>
      </c>
      <c r="C1872" s="16" t="s">
        <v>945</v>
      </c>
      <c r="D1872" s="5" t="s">
        <v>601</v>
      </c>
      <c r="E1872" s="38" t="s">
        <v>498</v>
      </c>
      <c r="F1872" s="70" t="s">
        <v>2075</v>
      </c>
      <c r="G1872" s="70" t="s">
        <v>500</v>
      </c>
      <c r="H1872" s="70" t="s">
        <v>2076</v>
      </c>
      <c r="I1872" s="70" t="s">
        <v>860</v>
      </c>
      <c r="J1872" s="70" t="s">
        <v>2077</v>
      </c>
      <c r="K1872" s="70" t="s">
        <v>124</v>
      </c>
      <c r="L1872" s="70" t="s">
        <v>595</v>
      </c>
      <c r="M1872" s="12" t="s">
        <v>918</v>
      </c>
      <c r="N1872" s="7">
        <v>1</v>
      </c>
      <c r="O1872" s="57">
        <v>2678571</v>
      </c>
      <c r="P1872" s="62">
        <f t="shared" si="46"/>
        <v>2678571</v>
      </c>
      <c r="Q1872" s="6" t="s">
        <v>397</v>
      </c>
      <c r="R1872" s="6" t="s">
        <v>770</v>
      </c>
      <c r="S1872" s="38">
        <v>591000000</v>
      </c>
      <c r="T1872" s="7">
        <v>0</v>
      </c>
    </row>
    <row r="1873" spans="1:20" s="8" customFormat="1" ht="51">
      <c r="A1873" s="4"/>
      <c r="B1873" s="6">
        <v>1857</v>
      </c>
      <c r="C1873" s="36" t="s">
        <v>714</v>
      </c>
      <c r="D1873" s="6" t="s">
        <v>601</v>
      </c>
      <c r="E1873" s="38" t="s">
        <v>1520</v>
      </c>
      <c r="F1873" s="70" t="s">
        <v>1521</v>
      </c>
      <c r="G1873" s="70" t="s">
        <v>1517</v>
      </c>
      <c r="H1873" s="70" t="s">
        <v>1521</v>
      </c>
      <c r="I1873" s="70" t="s">
        <v>1517</v>
      </c>
      <c r="J1873" s="70" t="s">
        <v>1521</v>
      </c>
      <c r="K1873" s="70" t="s">
        <v>1517</v>
      </c>
      <c r="L1873" s="70" t="s">
        <v>595</v>
      </c>
      <c r="M1873" s="12" t="s">
        <v>918</v>
      </c>
      <c r="N1873" s="26">
        <v>1</v>
      </c>
      <c r="O1873" s="57">
        <v>96348</v>
      </c>
      <c r="P1873" s="62">
        <f t="shared" si="46"/>
        <v>96348</v>
      </c>
      <c r="Q1873" s="6" t="s">
        <v>397</v>
      </c>
      <c r="R1873" s="6" t="s">
        <v>770</v>
      </c>
      <c r="S1873" s="38">
        <v>591000000</v>
      </c>
      <c r="T1873" s="7">
        <v>0</v>
      </c>
    </row>
    <row r="1874" spans="1:20" ht="51">
      <c r="B1874" s="6">
        <v>1858</v>
      </c>
      <c r="C1874" s="69" t="s">
        <v>714</v>
      </c>
      <c r="D1874" s="5" t="s">
        <v>601</v>
      </c>
      <c r="E1874" s="38" t="s">
        <v>617</v>
      </c>
      <c r="F1874" s="93" t="s">
        <v>2027</v>
      </c>
      <c r="G1874" s="93" t="s">
        <v>618</v>
      </c>
      <c r="H1874" s="93" t="s">
        <v>2028</v>
      </c>
      <c r="I1874" s="93" t="s">
        <v>619</v>
      </c>
      <c r="J1874" s="93" t="s">
        <v>2029</v>
      </c>
      <c r="K1874" s="93" t="s">
        <v>1522</v>
      </c>
      <c r="L1874" s="70" t="s">
        <v>1490</v>
      </c>
      <c r="M1874" s="6" t="s">
        <v>918</v>
      </c>
      <c r="N1874" s="26">
        <v>1</v>
      </c>
      <c r="O1874" s="57">
        <f>P1874/N1874</f>
        <v>3142860</v>
      </c>
      <c r="P1874" s="62">
        <f>3142860+7777140-7777140</f>
        <v>3142860</v>
      </c>
      <c r="Q1874" s="6" t="s">
        <v>519</v>
      </c>
      <c r="R1874" s="6" t="s">
        <v>770</v>
      </c>
      <c r="S1874" s="38" t="s">
        <v>2030</v>
      </c>
      <c r="T1874" s="6">
        <v>0</v>
      </c>
    </row>
    <row r="1875" spans="1:20" s="60" customFormat="1" ht="54.75" customHeight="1">
      <c r="B1875" s="6">
        <v>1859</v>
      </c>
      <c r="C1875" s="69" t="s">
        <v>714</v>
      </c>
      <c r="D1875" s="5" t="s">
        <v>601</v>
      </c>
      <c r="E1875" s="38" t="s">
        <v>907</v>
      </c>
      <c r="F1875" s="70" t="s">
        <v>2345</v>
      </c>
      <c r="G1875" s="70" t="s">
        <v>2346</v>
      </c>
      <c r="H1875" s="70" t="s">
        <v>2347</v>
      </c>
      <c r="I1875" s="70" t="s">
        <v>908</v>
      </c>
      <c r="J1875" s="70" t="s">
        <v>2348</v>
      </c>
      <c r="K1875" s="70" t="s">
        <v>1531</v>
      </c>
      <c r="L1875" s="70" t="s">
        <v>595</v>
      </c>
      <c r="M1875" s="12" t="s">
        <v>918</v>
      </c>
      <c r="N1875" s="68">
        <v>1</v>
      </c>
      <c r="O1875" s="57">
        <v>107143</v>
      </c>
      <c r="P1875" s="62">
        <f>N1875*O1875</f>
        <v>107143</v>
      </c>
      <c r="Q1875" s="9" t="s">
        <v>519</v>
      </c>
      <c r="R1875" s="9" t="s">
        <v>616</v>
      </c>
      <c r="S1875" s="38">
        <v>551000000</v>
      </c>
      <c r="T1875" s="9">
        <v>30</v>
      </c>
    </row>
    <row r="1876" spans="1:20" s="60" customFormat="1" ht="57" customHeight="1">
      <c r="B1876" s="6">
        <v>1860</v>
      </c>
      <c r="C1876" s="69" t="s">
        <v>714</v>
      </c>
      <c r="D1876" s="5" t="s">
        <v>601</v>
      </c>
      <c r="E1876" s="38" t="s">
        <v>907</v>
      </c>
      <c r="F1876" s="70" t="s">
        <v>2345</v>
      </c>
      <c r="G1876" s="70" t="s">
        <v>2346</v>
      </c>
      <c r="H1876" s="70" t="s">
        <v>2347</v>
      </c>
      <c r="I1876" s="70" t="s">
        <v>908</v>
      </c>
      <c r="J1876" s="70" t="s">
        <v>2350</v>
      </c>
      <c r="K1876" s="70" t="s">
        <v>2349</v>
      </c>
      <c r="L1876" s="70" t="s">
        <v>595</v>
      </c>
      <c r="M1876" s="12" t="s">
        <v>918</v>
      </c>
      <c r="N1876" s="68">
        <v>1</v>
      </c>
      <c r="O1876" s="57">
        <v>124107</v>
      </c>
      <c r="P1876" s="62">
        <f>N1876*O1876</f>
        <v>124107</v>
      </c>
      <c r="Q1876" s="9" t="s">
        <v>395</v>
      </c>
      <c r="R1876" s="9" t="s">
        <v>395</v>
      </c>
      <c r="S1876" s="38">
        <v>551000000</v>
      </c>
      <c r="T1876" s="9">
        <v>30</v>
      </c>
    </row>
    <row r="1877" spans="1:20" s="60" customFormat="1" ht="57" customHeight="1">
      <c r="B1877" s="6">
        <v>1861</v>
      </c>
      <c r="C1877" s="69" t="s">
        <v>714</v>
      </c>
      <c r="D1877" s="5" t="s">
        <v>601</v>
      </c>
      <c r="E1877" s="38" t="s">
        <v>706</v>
      </c>
      <c r="F1877" s="38" t="s">
        <v>781</v>
      </c>
      <c r="G1877" s="38" t="s">
        <v>707</v>
      </c>
      <c r="H1877" s="38" t="s">
        <v>781</v>
      </c>
      <c r="I1877" s="38" t="s">
        <v>707</v>
      </c>
      <c r="J1877" s="38" t="s">
        <v>2395</v>
      </c>
      <c r="K1877" s="38" t="s">
        <v>2396</v>
      </c>
      <c r="L1877" s="70" t="s">
        <v>1490</v>
      </c>
      <c r="M1877" s="12" t="s">
        <v>918</v>
      </c>
      <c r="N1877" s="68">
        <v>1</v>
      </c>
      <c r="O1877" s="57">
        <v>3307000</v>
      </c>
      <c r="P1877" s="57">
        <f>3307000+5756250</f>
        <v>9063250</v>
      </c>
      <c r="Q1877" s="9" t="s">
        <v>505</v>
      </c>
      <c r="R1877" s="38" t="s">
        <v>770</v>
      </c>
      <c r="S1877" s="38" t="s">
        <v>2030</v>
      </c>
      <c r="T1877" s="9">
        <v>0</v>
      </c>
    </row>
    <row r="1878" spans="1:20" s="8" customFormat="1" ht="102">
      <c r="A1878" s="4"/>
      <c r="B1878" s="5">
        <v>1862</v>
      </c>
      <c r="C1878" s="36" t="s">
        <v>714</v>
      </c>
      <c r="D1878" s="43" t="s">
        <v>601</v>
      </c>
      <c r="E1878" s="6" t="s">
        <v>2402</v>
      </c>
      <c r="F1878" s="6" t="s">
        <v>2403</v>
      </c>
      <c r="G1878" s="6" t="s">
        <v>2404</v>
      </c>
      <c r="H1878" s="6" t="s">
        <v>2405</v>
      </c>
      <c r="I1878" s="38" t="s">
        <v>2406</v>
      </c>
      <c r="J1878" s="6" t="s">
        <v>2409</v>
      </c>
      <c r="K1878" s="6" t="s">
        <v>2408</v>
      </c>
      <c r="L1878" s="6" t="s">
        <v>595</v>
      </c>
      <c r="M1878" s="12" t="s">
        <v>918</v>
      </c>
      <c r="N1878" s="7">
        <v>1</v>
      </c>
      <c r="O1878" s="85">
        <f t="shared" ref="O1878:O1886" si="47">P1878</f>
        <v>2842411</v>
      </c>
      <c r="P1878" s="85">
        <v>2842411</v>
      </c>
      <c r="Q1878" s="6" t="s">
        <v>397</v>
      </c>
      <c r="R1878" s="6" t="s">
        <v>395</v>
      </c>
      <c r="S1878" s="38" t="s">
        <v>2037</v>
      </c>
      <c r="T1878" s="6">
        <v>30</v>
      </c>
    </row>
    <row r="1879" spans="1:20" ht="51" outlineLevel="1">
      <c r="B1879" s="6">
        <v>1863</v>
      </c>
      <c r="C1879" s="36" t="s">
        <v>714</v>
      </c>
      <c r="D1879" s="43" t="s">
        <v>601</v>
      </c>
      <c r="E1879" s="6" t="s">
        <v>706</v>
      </c>
      <c r="F1879" s="70" t="s">
        <v>781</v>
      </c>
      <c r="G1879" s="70" t="s">
        <v>707</v>
      </c>
      <c r="H1879" s="70" t="s">
        <v>781</v>
      </c>
      <c r="I1879" s="70" t="s">
        <v>707</v>
      </c>
      <c r="J1879" s="70" t="s">
        <v>781</v>
      </c>
      <c r="K1879" s="70" t="s">
        <v>707</v>
      </c>
      <c r="L1879" s="70" t="s">
        <v>595</v>
      </c>
      <c r="M1879" s="12" t="s">
        <v>918</v>
      </c>
      <c r="N1879" s="26">
        <v>1</v>
      </c>
      <c r="O1879" s="57">
        <f t="shared" si="47"/>
        <v>2153571.42</v>
      </c>
      <c r="P1879" s="62">
        <v>2153571.42</v>
      </c>
      <c r="Q1879" s="6" t="s">
        <v>397</v>
      </c>
      <c r="R1879" s="6" t="s">
        <v>2410</v>
      </c>
      <c r="S1879" s="38" t="s">
        <v>2030</v>
      </c>
      <c r="T1879" s="26">
        <v>0</v>
      </c>
    </row>
    <row r="1880" spans="1:20" s="8" customFormat="1" ht="35.25" customHeight="1">
      <c r="A1880" s="4"/>
      <c r="B1880" s="5">
        <v>1864</v>
      </c>
      <c r="C1880" s="36" t="s">
        <v>714</v>
      </c>
      <c r="D1880" s="43" t="s">
        <v>1469</v>
      </c>
      <c r="E1880" s="6" t="s">
        <v>2411</v>
      </c>
      <c r="F1880" s="6" t="s">
        <v>2412</v>
      </c>
      <c r="G1880" s="6" t="s">
        <v>2413</v>
      </c>
      <c r="H1880" s="6" t="s">
        <v>2412</v>
      </c>
      <c r="I1880" s="38" t="s">
        <v>2413</v>
      </c>
      <c r="J1880" s="6" t="s">
        <v>2412</v>
      </c>
      <c r="K1880" s="38" t="s">
        <v>2413</v>
      </c>
      <c r="L1880" s="6" t="s">
        <v>595</v>
      </c>
      <c r="M1880" s="5" t="s">
        <v>1469</v>
      </c>
      <c r="N1880" s="7">
        <v>1</v>
      </c>
      <c r="O1880" s="85">
        <f t="shared" si="47"/>
        <v>2950000</v>
      </c>
      <c r="P1880" s="85">
        <v>2950000</v>
      </c>
      <c r="Q1880" s="6" t="s">
        <v>395</v>
      </c>
      <c r="R1880" s="6" t="s">
        <v>395</v>
      </c>
      <c r="S1880" s="38">
        <v>231000000</v>
      </c>
      <c r="T1880" s="6">
        <v>50</v>
      </c>
    </row>
    <row r="1881" spans="1:20" ht="51" outlineLevel="1">
      <c r="B1881" s="6">
        <v>1865</v>
      </c>
      <c r="C1881" s="36" t="s">
        <v>714</v>
      </c>
      <c r="D1881" s="43" t="s">
        <v>601</v>
      </c>
      <c r="E1881" s="6" t="s">
        <v>706</v>
      </c>
      <c r="F1881" s="70" t="s">
        <v>781</v>
      </c>
      <c r="G1881" s="70" t="s">
        <v>707</v>
      </c>
      <c r="H1881" s="70" t="s">
        <v>781</v>
      </c>
      <c r="I1881" s="70" t="s">
        <v>707</v>
      </c>
      <c r="J1881" s="70" t="s">
        <v>781</v>
      </c>
      <c r="K1881" s="70" t="s">
        <v>707</v>
      </c>
      <c r="L1881" s="70" t="s">
        <v>595</v>
      </c>
      <c r="M1881" s="12" t="s">
        <v>918</v>
      </c>
      <c r="N1881" s="26">
        <v>1</v>
      </c>
      <c r="O1881" s="57">
        <f t="shared" si="47"/>
        <v>6647896.2699999996</v>
      </c>
      <c r="P1881" s="62">
        <f>10834285-4053304.73-133084</f>
        <v>6647896.2699999996</v>
      </c>
      <c r="Q1881" s="6" t="s">
        <v>397</v>
      </c>
      <c r="R1881" s="6" t="s">
        <v>770</v>
      </c>
      <c r="S1881" s="38">
        <v>351000000</v>
      </c>
      <c r="T1881" s="26">
        <v>0</v>
      </c>
    </row>
    <row r="1882" spans="1:20" s="1" customFormat="1" ht="51">
      <c r="A1882" s="3"/>
      <c r="B1882" s="6">
        <v>1866</v>
      </c>
      <c r="C1882" s="69" t="s">
        <v>714</v>
      </c>
      <c r="D1882" s="5" t="s">
        <v>601</v>
      </c>
      <c r="E1882" s="38" t="s">
        <v>511</v>
      </c>
      <c r="F1882" s="70" t="s">
        <v>1953</v>
      </c>
      <c r="G1882" s="70" t="s">
        <v>513</v>
      </c>
      <c r="H1882" s="70" t="s">
        <v>2414</v>
      </c>
      <c r="I1882" s="70" t="s">
        <v>514</v>
      </c>
      <c r="J1882" s="70" t="s">
        <v>2416</v>
      </c>
      <c r="K1882" s="70" t="s">
        <v>2415</v>
      </c>
      <c r="L1882" s="70" t="s">
        <v>595</v>
      </c>
      <c r="M1882" s="12" t="s">
        <v>918</v>
      </c>
      <c r="N1882" s="66">
        <v>1</v>
      </c>
      <c r="O1882" s="57">
        <f t="shared" si="47"/>
        <v>1175000</v>
      </c>
      <c r="P1882" s="62">
        <f>127500+1047500</f>
        <v>1175000</v>
      </c>
      <c r="Q1882" s="6" t="s">
        <v>395</v>
      </c>
      <c r="R1882" s="6" t="s">
        <v>2417</v>
      </c>
      <c r="S1882" s="38" t="s">
        <v>1179</v>
      </c>
      <c r="T1882" s="7">
        <v>50</v>
      </c>
    </row>
    <row r="1883" spans="1:20" s="8" customFormat="1" ht="114.75">
      <c r="A1883" s="4"/>
      <c r="B1883" s="5">
        <v>1867</v>
      </c>
      <c r="C1883" s="36" t="s">
        <v>714</v>
      </c>
      <c r="D1883" s="43" t="s">
        <v>601</v>
      </c>
      <c r="E1883" s="6" t="s">
        <v>2418</v>
      </c>
      <c r="F1883" s="6" t="s">
        <v>2419</v>
      </c>
      <c r="G1883" s="6" t="s">
        <v>2420</v>
      </c>
      <c r="H1883" s="6" t="s">
        <v>2421</v>
      </c>
      <c r="I1883" s="38" t="s">
        <v>2422</v>
      </c>
      <c r="J1883" s="6" t="s">
        <v>2424</v>
      </c>
      <c r="K1883" s="6" t="s">
        <v>2423</v>
      </c>
      <c r="L1883" s="6" t="s">
        <v>595</v>
      </c>
      <c r="M1883" s="5" t="s">
        <v>2407</v>
      </c>
      <c r="N1883" s="7">
        <v>1</v>
      </c>
      <c r="O1883" s="85">
        <f t="shared" si="47"/>
        <v>1985170</v>
      </c>
      <c r="P1883" s="85">
        <v>1985170</v>
      </c>
      <c r="Q1883" s="6" t="s">
        <v>395</v>
      </c>
      <c r="R1883" s="6" t="s">
        <v>2417</v>
      </c>
      <c r="S1883" s="38" t="s">
        <v>1179</v>
      </c>
      <c r="T1883" s="6">
        <v>50</v>
      </c>
    </row>
    <row r="1884" spans="1:20" s="8" customFormat="1" ht="114.75">
      <c r="A1884" s="4"/>
      <c r="B1884" s="5">
        <v>1868</v>
      </c>
      <c r="C1884" s="36" t="s">
        <v>714</v>
      </c>
      <c r="D1884" s="43" t="s">
        <v>601</v>
      </c>
      <c r="E1884" s="6" t="s">
        <v>2418</v>
      </c>
      <c r="F1884" s="6" t="s">
        <v>2419</v>
      </c>
      <c r="G1884" s="6" t="s">
        <v>2420</v>
      </c>
      <c r="H1884" s="6" t="s">
        <v>2421</v>
      </c>
      <c r="I1884" s="38" t="s">
        <v>2422</v>
      </c>
      <c r="J1884" s="6" t="s">
        <v>2426</v>
      </c>
      <c r="K1884" s="6" t="s">
        <v>2425</v>
      </c>
      <c r="L1884" s="6" t="s">
        <v>595</v>
      </c>
      <c r="M1884" s="5" t="s">
        <v>2407</v>
      </c>
      <c r="N1884" s="7">
        <v>1</v>
      </c>
      <c r="O1884" s="85">
        <f t="shared" si="47"/>
        <v>3306991</v>
      </c>
      <c r="P1884" s="85">
        <v>3306991</v>
      </c>
      <c r="Q1884" s="6" t="s">
        <v>395</v>
      </c>
      <c r="R1884" s="6" t="s">
        <v>2417</v>
      </c>
      <c r="S1884" s="38" t="s">
        <v>1179</v>
      </c>
      <c r="T1884" s="6">
        <v>50</v>
      </c>
    </row>
    <row r="1885" spans="1:20" s="8" customFormat="1" ht="114.75">
      <c r="A1885" s="4"/>
      <c r="B1885" s="5">
        <v>1869</v>
      </c>
      <c r="C1885" s="36" t="s">
        <v>714</v>
      </c>
      <c r="D1885" s="43" t="s">
        <v>601</v>
      </c>
      <c r="E1885" s="6" t="s">
        <v>2418</v>
      </c>
      <c r="F1885" s="6" t="s">
        <v>2419</v>
      </c>
      <c r="G1885" s="6" t="s">
        <v>2420</v>
      </c>
      <c r="H1885" s="6" t="s">
        <v>2421</v>
      </c>
      <c r="I1885" s="38" t="s">
        <v>2422</v>
      </c>
      <c r="J1885" s="6" t="s">
        <v>2426</v>
      </c>
      <c r="K1885" s="6" t="s">
        <v>2425</v>
      </c>
      <c r="L1885" s="6" t="s">
        <v>595</v>
      </c>
      <c r="M1885" s="5" t="s">
        <v>2407</v>
      </c>
      <c r="N1885" s="7">
        <v>1</v>
      </c>
      <c r="O1885" s="85">
        <f t="shared" si="47"/>
        <v>3306991</v>
      </c>
      <c r="P1885" s="85">
        <v>3306991</v>
      </c>
      <c r="Q1885" s="6" t="s">
        <v>395</v>
      </c>
      <c r="R1885" s="6" t="s">
        <v>2417</v>
      </c>
      <c r="S1885" s="38" t="s">
        <v>2035</v>
      </c>
      <c r="T1885" s="6">
        <v>50</v>
      </c>
    </row>
    <row r="1886" spans="1:20" s="8" customFormat="1" ht="76.5" outlineLevel="1">
      <c r="A1886" s="4"/>
      <c r="B1886" s="5">
        <v>1870</v>
      </c>
      <c r="C1886" s="36" t="s">
        <v>714</v>
      </c>
      <c r="D1886" s="43" t="s">
        <v>601</v>
      </c>
      <c r="E1886" s="6" t="s">
        <v>2427</v>
      </c>
      <c r="F1886" s="38" t="s">
        <v>2428</v>
      </c>
      <c r="G1886" s="38" t="s">
        <v>2429</v>
      </c>
      <c r="H1886" s="38" t="s">
        <v>2430</v>
      </c>
      <c r="I1886" s="6" t="s">
        <v>2431</v>
      </c>
      <c r="J1886" s="38" t="s">
        <v>2433</v>
      </c>
      <c r="K1886" s="38" t="s">
        <v>2432</v>
      </c>
      <c r="L1886" s="87" t="s">
        <v>595</v>
      </c>
      <c r="M1886" s="5" t="s">
        <v>2407</v>
      </c>
      <c r="N1886" s="7">
        <v>1</v>
      </c>
      <c r="O1886" s="85">
        <f t="shared" si="47"/>
        <v>3035714</v>
      </c>
      <c r="P1886" s="85">
        <v>3035714</v>
      </c>
      <c r="Q1886" s="6" t="s">
        <v>395</v>
      </c>
      <c r="R1886" s="6" t="s">
        <v>770</v>
      </c>
      <c r="S1886" s="6" t="s">
        <v>1179</v>
      </c>
      <c r="T1886" s="6">
        <v>50</v>
      </c>
    </row>
    <row r="1887" spans="1:20" ht="51">
      <c r="B1887" s="6">
        <v>1871</v>
      </c>
      <c r="C1887" s="16" t="s">
        <v>714</v>
      </c>
      <c r="D1887" s="38" t="s">
        <v>601</v>
      </c>
      <c r="E1887" s="38" t="s">
        <v>1470</v>
      </c>
      <c r="F1887" s="70" t="s">
        <v>2013</v>
      </c>
      <c r="G1887" s="70" t="s">
        <v>1471</v>
      </c>
      <c r="H1887" s="70" t="s">
        <v>2013</v>
      </c>
      <c r="I1887" s="70" t="s">
        <v>1471</v>
      </c>
      <c r="J1887" s="70" t="s">
        <v>2435</v>
      </c>
      <c r="K1887" s="70" t="s">
        <v>2434</v>
      </c>
      <c r="L1887" s="87" t="s">
        <v>595</v>
      </c>
      <c r="M1887" s="12" t="s">
        <v>918</v>
      </c>
      <c r="N1887" s="26">
        <v>1</v>
      </c>
      <c r="O1887" s="57">
        <f>P1887</f>
        <v>1950000</v>
      </c>
      <c r="P1887" s="62">
        <v>1950000</v>
      </c>
      <c r="Q1887" s="6" t="s">
        <v>397</v>
      </c>
      <c r="R1887" s="6" t="s">
        <v>2436</v>
      </c>
      <c r="S1887" s="38" t="s">
        <v>1179</v>
      </c>
      <c r="T1887" s="26">
        <v>50</v>
      </c>
    </row>
    <row r="1888" spans="1:20" ht="54.75" customHeight="1">
      <c r="B1888" s="6">
        <v>1872</v>
      </c>
      <c r="C1888" s="16" t="s">
        <v>714</v>
      </c>
      <c r="D1888" s="38" t="s">
        <v>601</v>
      </c>
      <c r="E1888" s="38" t="s">
        <v>1470</v>
      </c>
      <c r="F1888" s="70" t="s">
        <v>2013</v>
      </c>
      <c r="G1888" s="70" t="s">
        <v>1471</v>
      </c>
      <c r="H1888" s="70" t="s">
        <v>2013</v>
      </c>
      <c r="I1888" s="70" t="s">
        <v>1471</v>
      </c>
      <c r="J1888" s="70" t="s">
        <v>2438</v>
      </c>
      <c r="K1888" s="70" t="s">
        <v>2437</v>
      </c>
      <c r="L1888" s="87" t="s">
        <v>595</v>
      </c>
      <c r="M1888" s="12" t="s">
        <v>918</v>
      </c>
      <c r="N1888" s="26">
        <v>1</v>
      </c>
      <c r="O1888" s="57">
        <f>P1888</f>
        <v>3180000</v>
      </c>
      <c r="P1888" s="62">
        <v>3180000</v>
      </c>
      <c r="Q1888" s="6" t="s">
        <v>395</v>
      </c>
      <c r="R1888" s="6" t="s">
        <v>2436</v>
      </c>
      <c r="S1888" s="38" t="s">
        <v>1179</v>
      </c>
      <c r="T1888" s="26">
        <v>50</v>
      </c>
    </row>
    <row r="1889" spans="1:20" ht="25.5" outlineLevel="1">
      <c r="B1889" s="6">
        <v>1873</v>
      </c>
      <c r="C1889" s="36" t="s">
        <v>714</v>
      </c>
      <c r="D1889" s="43" t="s">
        <v>601</v>
      </c>
      <c r="E1889" s="6" t="s">
        <v>2439</v>
      </c>
      <c r="F1889" s="70" t="s">
        <v>2441</v>
      </c>
      <c r="G1889" s="70" t="s">
        <v>2440</v>
      </c>
      <c r="H1889" s="70" t="s">
        <v>2441</v>
      </c>
      <c r="I1889" s="70" t="s">
        <v>2440</v>
      </c>
      <c r="J1889" s="70" t="s">
        <v>2441</v>
      </c>
      <c r="K1889" s="70" t="s">
        <v>2440</v>
      </c>
      <c r="L1889" s="70" t="s">
        <v>595</v>
      </c>
      <c r="M1889" s="12" t="s">
        <v>918</v>
      </c>
      <c r="N1889" s="26">
        <v>1</v>
      </c>
      <c r="O1889" s="57">
        <f>P1889</f>
        <v>800000</v>
      </c>
      <c r="P1889" s="62">
        <v>800000</v>
      </c>
      <c r="Q1889" s="6" t="s">
        <v>395</v>
      </c>
      <c r="R1889" s="6" t="s">
        <v>395</v>
      </c>
      <c r="S1889" s="38" t="s">
        <v>2030</v>
      </c>
      <c r="T1889" s="26">
        <v>100</v>
      </c>
    </row>
    <row r="1890" spans="1:20" ht="51" outlineLevel="1">
      <c r="B1890" s="6">
        <v>1874</v>
      </c>
      <c r="C1890" s="16" t="s">
        <v>714</v>
      </c>
      <c r="D1890" s="6" t="s">
        <v>601</v>
      </c>
      <c r="E1890" s="58" t="s">
        <v>497</v>
      </c>
      <c r="F1890" s="70" t="s">
        <v>2391</v>
      </c>
      <c r="G1890" s="70" t="s">
        <v>113</v>
      </c>
      <c r="H1890" s="70" t="s">
        <v>2391</v>
      </c>
      <c r="I1890" s="70" t="s">
        <v>113</v>
      </c>
      <c r="J1890" s="70" t="s">
        <v>2442</v>
      </c>
      <c r="K1890" s="70" t="s">
        <v>2443</v>
      </c>
      <c r="L1890" s="70" t="s">
        <v>595</v>
      </c>
      <c r="M1890" s="12" t="s">
        <v>918</v>
      </c>
      <c r="N1890" s="26">
        <v>1</v>
      </c>
      <c r="O1890" s="57">
        <f>P1890</f>
        <v>6785.5</v>
      </c>
      <c r="P1890" s="62">
        <v>6785.5</v>
      </c>
      <c r="Q1890" s="6" t="s">
        <v>397</v>
      </c>
      <c r="R1890" s="6" t="s">
        <v>770</v>
      </c>
      <c r="S1890" s="38">
        <v>351000000</v>
      </c>
      <c r="T1890" s="26">
        <v>100</v>
      </c>
    </row>
    <row r="1891" spans="1:20" s="8" customFormat="1" ht="96" customHeight="1">
      <c r="A1891" s="4"/>
      <c r="B1891" s="5">
        <v>1875</v>
      </c>
      <c r="C1891" s="36" t="s">
        <v>714</v>
      </c>
      <c r="D1891" s="43" t="s">
        <v>2444</v>
      </c>
      <c r="E1891" s="6" t="s">
        <v>2445</v>
      </c>
      <c r="F1891" s="6" t="s">
        <v>734</v>
      </c>
      <c r="G1891" s="6" t="s">
        <v>2446</v>
      </c>
      <c r="H1891" s="6" t="s">
        <v>2449</v>
      </c>
      <c r="I1891" s="6" t="s">
        <v>2448</v>
      </c>
      <c r="J1891" s="6" t="s">
        <v>2462</v>
      </c>
      <c r="K1891" s="6" t="s">
        <v>2457</v>
      </c>
      <c r="L1891" s="6" t="s">
        <v>595</v>
      </c>
      <c r="M1891" s="38" t="s">
        <v>648</v>
      </c>
      <c r="N1891" s="7">
        <v>1</v>
      </c>
      <c r="O1891" s="85">
        <f>P1891/N1891</f>
        <v>214300</v>
      </c>
      <c r="P1891" s="85">
        <v>214300</v>
      </c>
      <c r="Q1891" s="6" t="s">
        <v>395</v>
      </c>
      <c r="R1891" s="6" t="s">
        <v>2450</v>
      </c>
      <c r="S1891" s="38" t="s">
        <v>1179</v>
      </c>
      <c r="T1891" s="6">
        <v>50</v>
      </c>
    </row>
    <row r="1892" spans="1:20" s="8" customFormat="1" ht="51">
      <c r="A1892" s="4"/>
      <c r="B1892" s="5">
        <v>1876</v>
      </c>
      <c r="C1892" s="36" t="s">
        <v>714</v>
      </c>
      <c r="D1892" s="43" t="s">
        <v>2444</v>
      </c>
      <c r="E1892" s="6" t="s">
        <v>2445</v>
      </c>
      <c r="F1892" s="6" t="s">
        <v>734</v>
      </c>
      <c r="G1892" s="6" t="s">
        <v>2446</v>
      </c>
      <c r="H1892" s="6" t="s">
        <v>2449</v>
      </c>
      <c r="I1892" s="6" t="s">
        <v>2448</v>
      </c>
      <c r="J1892" s="6" t="s">
        <v>2463</v>
      </c>
      <c r="K1892" s="6" t="s">
        <v>2458</v>
      </c>
      <c r="L1892" s="6" t="s">
        <v>595</v>
      </c>
      <c r="M1892" s="38" t="s">
        <v>648</v>
      </c>
      <c r="N1892" s="7">
        <v>1</v>
      </c>
      <c r="O1892" s="85">
        <f>P1892/N1892</f>
        <v>158930</v>
      </c>
      <c r="P1892" s="85">
        <v>158930</v>
      </c>
      <c r="Q1892" s="6" t="s">
        <v>395</v>
      </c>
      <c r="R1892" s="6" t="s">
        <v>2450</v>
      </c>
      <c r="S1892" s="38" t="s">
        <v>1179</v>
      </c>
      <c r="T1892" s="6">
        <v>50</v>
      </c>
    </row>
    <row r="1893" spans="1:20" s="8" customFormat="1" ht="51">
      <c r="A1893" s="4"/>
      <c r="B1893" s="5">
        <v>1877</v>
      </c>
      <c r="C1893" s="36" t="s">
        <v>714</v>
      </c>
      <c r="D1893" s="43" t="s">
        <v>2444</v>
      </c>
      <c r="E1893" s="6" t="s">
        <v>2465</v>
      </c>
      <c r="F1893" s="5" t="s">
        <v>2466</v>
      </c>
      <c r="G1893" s="6" t="s">
        <v>2464</v>
      </c>
      <c r="H1893" s="6" t="s">
        <v>2468</v>
      </c>
      <c r="I1893" s="6" t="s">
        <v>2467</v>
      </c>
      <c r="J1893" s="6" t="s">
        <v>2468</v>
      </c>
      <c r="K1893" s="6" t="s">
        <v>2459</v>
      </c>
      <c r="L1893" s="6" t="s">
        <v>595</v>
      </c>
      <c r="M1893" s="38" t="s">
        <v>648</v>
      </c>
      <c r="N1893" s="7">
        <v>1</v>
      </c>
      <c r="O1893" s="85">
        <f>P1893/N1893</f>
        <v>62500</v>
      </c>
      <c r="P1893" s="85">
        <v>62500</v>
      </c>
      <c r="Q1893" s="6" t="s">
        <v>395</v>
      </c>
      <c r="R1893" s="6" t="s">
        <v>2450</v>
      </c>
      <c r="S1893" s="38" t="s">
        <v>1179</v>
      </c>
      <c r="T1893" s="6">
        <v>50</v>
      </c>
    </row>
    <row r="1894" spans="1:20" s="8" customFormat="1" ht="51">
      <c r="A1894" s="4"/>
      <c r="B1894" s="5">
        <v>1878</v>
      </c>
      <c r="C1894" s="36" t="s">
        <v>714</v>
      </c>
      <c r="D1894" s="43" t="s">
        <v>2444</v>
      </c>
      <c r="E1894" s="6" t="s">
        <v>2469</v>
      </c>
      <c r="F1894" s="6" t="s">
        <v>2471</v>
      </c>
      <c r="G1894" s="6" t="s">
        <v>2470</v>
      </c>
      <c r="H1894" s="6" t="s">
        <v>2473</v>
      </c>
      <c r="I1894" s="6" t="s">
        <v>2472</v>
      </c>
      <c r="J1894" s="6" t="s">
        <v>2474</v>
      </c>
      <c r="K1894" s="6" t="s">
        <v>2460</v>
      </c>
      <c r="L1894" s="6" t="s">
        <v>595</v>
      </c>
      <c r="M1894" s="38" t="s">
        <v>648</v>
      </c>
      <c r="N1894" s="7">
        <v>1</v>
      </c>
      <c r="O1894" s="85">
        <f>P1894/N1894</f>
        <v>39300</v>
      </c>
      <c r="P1894" s="85">
        <v>39300</v>
      </c>
      <c r="Q1894" s="6" t="s">
        <v>395</v>
      </c>
      <c r="R1894" s="6" t="s">
        <v>2450</v>
      </c>
      <c r="S1894" s="38" t="s">
        <v>1179</v>
      </c>
      <c r="T1894" s="6">
        <v>50</v>
      </c>
    </row>
    <row r="1895" spans="1:20" s="126" customFormat="1" ht="153">
      <c r="A1895" s="124"/>
      <c r="B1895" s="5">
        <v>1879</v>
      </c>
      <c r="C1895" s="36" t="s">
        <v>714</v>
      </c>
      <c r="D1895" s="37" t="s">
        <v>715</v>
      </c>
      <c r="E1895" s="6" t="s">
        <v>2451</v>
      </c>
      <c r="F1895" s="6" t="s">
        <v>2452</v>
      </c>
      <c r="G1895" s="6" t="s">
        <v>2453</v>
      </c>
      <c r="H1895" s="6" t="s">
        <v>2454</v>
      </c>
      <c r="I1895" s="6" t="s">
        <v>2455</v>
      </c>
      <c r="J1895" s="6" t="s">
        <v>2475</v>
      </c>
      <c r="K1895" s="6" t="s">
        <v>2461</v>
      </c>
      <c r="L1895" s="6" t="s">
        <v>595</v>
      </c>
      <c r="M1895" s="6" t="s">
        <v>1484</v>
      </c>
      <c r="N1895" s="6">
        <f>100+150</f>
        <v>250</v>
      </c>
      <c r="O1895" s="125">
        <f t="shared" ref="O1895" si="48">P1895/N1895</f>
        <v>6956.8</v>
      </c>
      <c r="P1895" s="125">
        <f>714200+1025000</f>
        <v>1739200</v>
      </c>
      <c r="Q1895" s="6" t="s">
        <v>616</v>
      </c>
      <c r="R1895" s="6" t="s">
        <v>2456</v>
      </c>
      <c r="S1895" s="38" t="s">
        <v>1179</v>
      </c>
      <c r="T1895" s="10">
        <v>50</v>
      </c>
    </row>
    <row r="1896" spans="1:20" ht="49.5" customHeight="1">
      <c r="B1896" s="6">
        <v>1880</v>
      </c>
      <c r="C1896" s="36" t="s">
        <v>714</v>
      </c>
      <c r="D1896" s="37" t="s">
        <v>715</v>
      </c>
      <c r="E1896" s="6" t="s">
        <v>1494</v>
      </c>
      <c r="F1896" s="70" t="s">
        <v>2476</v>
      </c>
      <c r="G1896" s="70" t="s">
        <v>97</v>
      </c>
      <c r="H1896" s="6" t="s">
        <v>2478</v>
      </c>
      <c r="I1896" s="70" t="s">
        <v>2477</v>
      </c>
      <c r="J1896" s="70" t="s">
        <v>2476</v>
      </c>
      <c r="K1896" s="70" t="s">
        <v>97</v>
      </c>
      <c r="L1896" s="70" t="s">
        <v>595</v>
      </c>
      <c r="M1896" s="38" t="s">
        <v>648</v>
      </c>
      <c r="N1896" s="26">
        <v>1</v>
      </c>
      <c r="O1896" s="57">
        <f>P1896/N1896</f>
        <v>998517.86</v>
      </c>
      <c r="P1896" s="62">
        <v>998517.86</v>
      </c>
      <c r="Q1896" s="6" t="s">
        <v>395</v>
      </c>
      <c r="R1896" s="6" t="s">
        <v>2450</v>
      </c>
      <c r="S1896" s="38" t="s">
        <v>1179</v>
      </c>
      <c r="T1896" s="26">
        <v>50</v>
      </c>
    </row>
    <row r="1897" spans="1:20" ht="96.75" customHeight="1">
      <c r="B1897" s="6">
        <v>1881</v>
      </c>
      <c r="C1897" s="36" t="s">
        <v>714</v>
      </c>
      <c r="D1897" s="37" t="s">
        <v>715</v>
      </c>
      <c r="E1897" s="6" t="s">
        <v>2479</v>
      </c>
      <c r="F1897" s="6" t="s">
        <v>2481</v>
      </c>
      <c r="G1897" s="70" t="s">
        <v>2480</v>
      </c>
      <c r="H1897" s="6" t="s">
        <v>2488</v>
      </c>
      <c r="I1897" s="70" t="s">
        <v>2482</v>
      </c>
      <c r="J1897" s="6" t="s">
        <v>2481</v>
      </c>
      <c r="K1897" s="70" t="s">
        <v>2480</v>
      </c>
      <c r="L1897" s="70" t="s">
        <v>595</v>
      </c>
      <c r="M1897" s="38" t="s">
        <v>642</v>
      </c>
      <c r="N1897" s="26">
        <v>1</v>
      </c>
      <c r="O1897" s="57">
        <f>P1897/N1897</f>
        <v>139383.92000000001</v>
      </c>
      <c r="P1897" s="62">
        <v>139383.92000000001</v>
      </c>
      <c r="Q1897" s="6" t="s">
        <v>395</v>
      </c>
      <c r="R1897" s="6" t="s">
        <v>2450</v>
      </c>
      <c r="S1897" s="38" t="s">
        <v>1179</v>
      </c>
      <c r="T1897" s="26">
        <v>50</v>
      </c>
    </row>
    <row r="1898" spans="1:20" ht="82.5" customHeight="1">
      <c r="B1898" s="6">
        <v>1882</v>
      </c>
      <c r="C1898" s="36" t="s">
        <v>714</v>
      </c>
      <c r="D1898" s="37" t="s">
        <v>715</v>
      </c>
      <c r="E1898" s="6" t="s">
        <v>2483</v>
      </c>
      <c r="F1898" s="6" t="s">
        <v>2486</v>
      </c>
      <c r="G1898" s="70" t="s">
        <v>2484</v>
      </c>
      <c r="H1898" s="6" t="s">
        <v>2487</v>
      </c>
      <c r="I1898" s="70" t="s">
        <v>2485</v>
      </c>
      <c r="J1898" s="6" t="s">
        <v>2481</v>
      </c>
      <c r="K1898" s="70" t="s">
        <v>2480</v>
      </c>
      <c r="L1898" s="70" t="s">
        <v>595</v>
      </c>
      <c r="M1898" s="38" t="s">
        <v>642</v>
      </c>
      <c r="N1898" s="26">
        <v>1</v>
      </c>
      <c r="O1898" s="57">
        <f>P1898/N1898</f>
        <v>308750</v>
      </c>
      <c r="P1898" s="62">
        <v>308750</v>
      </c>
      <c r="Q1898" s="6" t="s">
        <v>395</v>
      </c>
      <c r="R1898" s="6" t="s">
        <v>2450</v>
      </c>
      <c r="S1898" s="38" t="s">
        <v>1179</v>
      </c>
      <c r="T1898" s="26">
        <v>50</v>
      </c>
    </row>
    <row r="1899" spans="1:20" ht="51" outlineLevel="1">
      <c r="B1899" s="6">
        <v>1883</v>
      </c>
      <c r="C1899" s="16" t="s">
        <v>714</v>
      </c>
      <c r="D1899" s="6" t="s">
        <v>601</v>
      </c>
      <c r="E1899" s="12" t="s">
        <v>2489</v>
      </c>
      <c r="F1899" s="70" t="s">
        <v>2491</v>
      </c>
      <c r="G1899" s="70" t="s">
        <v>2490</v>
      </c>
      <c r="H1899" s="70" t="s">
        <v>2491</v>
      </c>
      <c r="I1899" s="70" t="s">
        <v>2490</v>
      </c>
      <c r="J1899" s="70" t="s">
        <v>2491</v>
      </c>
      <c r="K1899" s="70" t="s">
        <v>2490</v>
      </c>
      <c r="L1899" s="70" t="s">
        <v>595</v>
      </c>
      <c r="M1899" s="12" t="s">
        <v>918</v>
      </c>
      <c r="N1899" s="26">
        <v>1</v>
      </c>
      <c r="O1899" s="57">
        <f>P1899</f>
        <v>267643</v>
      </c>
      <c r="P1899" s="62">
        <v>267643</v>
      </c>
      <c r="Q1899" s="6" t="s">
        <v>397</v>
      </c>
      <c r="R1899" s="6" t="s">
        <v>770</v>
      </c>
      <c r="S1899" s="38">
        <v>311000000</v>
      </c>
      <c r="T1899" s="15">
        <v>0</v>
      </c>
    </row>
    <row r="1900" spans="1:20" s="8" customFormat="1" ht="76.5">
      <c r="A1900" s="4"/>
      <c r="B1900" s="5">
        <v>1884</v>
      </c>
      <c r="C1900" s="36" t="s">
        <v>714</v>
      </c>
      <c r="D1900" s="43" t="s">
        <v>1469</v>
      </c>
      <c r="E1900" s="6" t="s">
        <v>2492</v>
      </c>
      <c r="F1900" s="6" t="s">
        <v>2494</v>
      </c>
      <c r="G1900" s="6" t="s">
        <v>2493</v>
      </c>
      <c r="H1900" s="6" t="s">
        <v>2496</v>
      </c>
      <c r="I1900" s="38" t="s">
        <v>2495</v>
      </c>
      <c r="J1900" s="6" t="s">
        <v>2498</v>
      </c>
      <c r="K1900" s="38" t="s">
        <v>2497</v>
      </c>
      <c r="L1900" s="6" t="s">
        <v>595</v>
      </c>
      <c r="M1900" s="5" t="s">
        <v>1469</v>
      </c>
      <c r="N1900" s="7">
        <v>1</v>
      </c>
      <c r="O1900" s="85">
        <f t="shared" ref="O1900" si="49">P1900</f>
        <v>2578954</v>
      </c>
      <c r="P1900" s="85">
        <v>2578954</v>
      </c>
      <c r="Q1900" s="6" t="s">
        <v>395</v>
      </c>
      <c r="R1900" s="6" t="s">
        <v>2436</v>
      </c>
      <c r="S1900" s="38" t="s">
        <v>1179</v>
      </c>
      <c r="T1900" s="6">
        <v>0</v>
      </c>
    </row>
    <row r="1901" spans="1:20" s="8" customFormat="1" ht="51">
      <c r="A1901" s="4"/>
      <c r="B1901" s="5">
        <v>1885</v>
      </c>
      <c r="C1901" s="36" t="s">
        <v>714</v>
      </c>
      <c r="D1901" s="37" t="s">
        <v>715</v>
      </c>
      <c r="E1901" s="16" t="s">
        <v>2499</v>
      </c>
      <c r="F1901" s="38" t="s">
        <v>2500</v>
      </c>
      <c r="G1901" s="38" t="s">
        <v>2500</v>
      </c>
      <c r="H1901" s="38" t="s">
        <v>2501</v>
      </c>
      <c r="I1901" s="38" t="s">
        <v>2502</v>
      </c>
      <c r="J1901" s="38" t="s">
        <v>2500</v>
      </c>
      <c r="K1901" s="38" t="s">
        <v>2500</v>
      </c>
      <c r="L1901" s="6" t="s">
        <v>595</v>
      </c>
      <c r="M1901" s="5" t="s">
        <v>2447</v>
      </c>
      <c r="N1901" s="7">
        <v>1</v>
      </c>
      <c r="O1901" s="85">
        <f>P1901/N1901</f>
        <v>334375</v>
      </c>
      <c r="P1901" s="85">
        <v>334375</v>
      </c>
      <c r="Q1901" s="6" t="s">
        <v>395</v>
      </c>
      <c r="R1901" s="6" t="s">
        <v>2503</v>
      </c>
      <c r="S1901" s="38" t="s">
        <v>1179</v>
      </c>
      <c r="T1901" s="6">
        <v>100</v>
      </c>
    </row>
    <row r="1902" spans="1:20" s="8" customFormat="1" ht="146.25" customHeight="1">
      <c r="A1902" s="4"/>
      <c r="B1902" s="5">
        <v>1886</v>
      </c>
      <c r="C1902" s="36" t="s">
        <v>714</v>
      </c>
      <c r="D1902" s="37" t="s">
        <v>715</v>
      </c>
      <c r="E1902" s="16" t="s">
        <v>2504</v>
      </c>
      <c r="F1902" s="38" t="s">
        <v>2507</v>
      </c>
      <c r="G1902" s="38" t="s">
        <v>2505</v>
      </c>
      <c r="H1902" s="38" t="s">
        <v>2508</v>
      </c>
      <c r="I1902" s="38" t="s">
        <v>2506</v>
      </c>
      <c r="J1902" s="38" t="s">
        <v>2507</v>
      </c>
      <c r="K1902" s="38" t="s">
        <v>2505</v>
      </c>
      <c r="L1902" s="6" t="s">
        <v>595</v>
      </c>
      <c r="M1902" s="5" t="s">
        <v>2447</v>
      </c>
      <c r="N1902" s="7">
        <v>3</v>
      </c>
      <c r="O1902" s="85">
        <f>P1902/N1902</f>
        <v>657084</v>
      </c>
      <c r="P1902" s="85">
        <v>1971252</v>
      </c>
      <c r="Q1902" s="6" t="s">
        <v>395</v>
      </c>
      <c r="R1902" s="6" t="s">
        <v>2503</v>
      </c>
      <c r="S1902" s="38" t="s">
        <v>1179</v>
      </c>
      <c r="T1902" s="6">
        <v>50</v>
      </c>
    </row>
    <row r="1903" spans="1:20" s="8" customFormat="1" ht="75" customHeight="1">
      <c r="A1903" s="4"/>
      <c r="B1903" s="5">
        <v>1887</v>
      </c>
      <c r="C1903" s="36" t="s">
        <v>714</v>
      </c>
      <c r="D1903" s="43" t="s">
        <v>1469</v>
      </c>
      <c r="E1903" s="6" t="s">
        <v>2509</v>
      </c>
      <c r="F1903" s="6" t="s">
        <v>2513</v>
      </c>
      <c r="G1903" s="6" t="s">
        <v>2510</v>
      </c>
      <c r="H1903" s="6" t="s">
        <v>2513</v>
      </c>
      <c r="I1903" s="38" t="s">
        <v>2510</v>
      </c>
      <c r="J1903" s="6" t="s">
        <v>2514</v>
      </c>
      <c r="K1903" s="38" t="s">
        <v>2511</v>
      </c>
      <c r="L1903" s="70" t="s">
        <v>1490</v>
      </c>
      <c r="M1903" s="5" t="s">
        <v>1469</v>
      </c>
      <c r="N1903" s="7">
        <v>1</v>
      </c>
      <c r="O1903" s="85">
        <f t="shared" ref="O1903" si="50">P1903</f>
        <v>158168464</v>
      </c>
      <c r="P1903" s="85">
        <f>132605473+25562991</f>
        <v>158168464</v>
      </c>
      <c r="Q1903" s="6" t="s">
        <v>395</v>
      </c>
      <c r="R1903" s="6" t="s">
        <v>2512</v>
      </c>
      <c r="S1903" s="38" t="s">
        <v>1179</v>
      </c>
      <c r="T1903" s="6">
        <v>30</v>
      </c>
    </row>
    <row r="1904" spans="1:20" s="1" customFormat="1" ht="133.5" customHeight="1">
      <c r="A1904" s="3"/>
      <c r="B1904" s="6">
        <v>1888</v>
      </c>
      <c r="C1904" s="16" t="s">
        <v>714</v>
      </c>
      <c r="D1904" s="38" t="s">
        <v>601</v>
      </c>
      <c r="E1904" s="6" t="s">
        <v>1436</v>
      </c>
      <c r="F1904" s="70" t="s">
        <v>1957</v>
      </c>
      <c r="G1904" s="70" t="s">
        <v>1437</v>
      </c>
      <c r="H1904" s="70" t="s">
        <v>1958</v>
      </c>
      <c r="I1904" s="70" t="s">
        <v>1438</v>
      </c>
      <c r="J1904" s="70" t="s">
        <v>2518</v>
      </c>
      <c r="K1904" s="70" t="s">
        <v>2515</v>
      </c>
      <c r="L1904" s="6" t="s">
        <v>595</v>
      </c>
      <c r="M1904" s="12" t="s">
        <v>918</v>
      </c>
      <c r="N1904" s="26">
        <v>1</v>
      </c>
      <c r="O1904" s="57">
        <f>P1904</f>
        <v>1350000</v>
      </c>
      <c r="P1904" s="62">
        <v>1350000</v>
      </c>
      <c r="Q1904" s="5" t="s">
        <v>397</v>
      </c>
      <c r="R1904" s="6" t="s">
        <v>2436</v>
      </c>
      <c r="S1904" s="38" t="s">
        <v>1179</v>
      </c>
      <c r="T1904" s="6">
        <v>50</v>
      </c>
    </row>
    <row r="1905" spans="1:20" s="1" customFormat="1" ht="187.5" customHeight="1">
      <c r="A1905" s="3"/>
      <c r="B1905" s="6">
        <v>1889</v>
      </c>
      <c r="C1905" s="16" t="s">
        <v>714</v>
      </c>
      <c r="D1905" s="38" t="s">
        <v>601</v>
      </c>
      <c r="E1905" s="6" t="s">
        <v>1436</v>
      </c>
      <c r="F1905" s="70" t="s">
        <v>1957</v>
      </c>
      <c r="G1905" s="70" t="s">
        <v>1437</v>
      </c>
      <c r="H1905" s="70" t="s">
        <v>1958</v>
      </c>
      <c r="I1905" s="70" t="s">
        <v>1438</v>
      </c>
      <c r="J1905" s="70" t="s">
        <v>2517</v>
      </c>
      <c r="K1905" s="70" t="s">
        <v>2516</v>
      </c>
      <c r="L1905" s="6" t="s">
        <v>595</v>
      </c>
      <c r="M1905" s="12" t="s">
        <v>918</v>
      </c>
      <c r="N1905" s="26">
        <v>1</v>
      </c>
      <c r="O1905" s="57">
        <f>P1905</f>
        <v>1071429</v>
      </c>
      <c r="P1905" s="62">
        <v>1071429</v>
      </c>
      <c r="Q1905" s="5" t="s">
        <v>397</v>
      </c>
      <c r="R1905" s="6" t="s">
        <v>2436</v>
      </c>
      <c r="S1905" s="38" t="s">
        <v>1179</v>
      </c>
      <c r="T1905" s="6">
        <v>50</v>
      </c>
    </row>
    <row r="1906" spans="1:20" s="14" customFormat="1" ht="51">
      <c r="A1906" s="2"/>
      <c r="B1906" s="6">
        <v>1890</v>
      </c>
      <c r="C1906" s="36" t="s">
        <v>714</v>
      </c>
      <c r="D1906" s="52" t="s">
        <v>601</v>
      </c>
      <c r="E1906" s="38" t="s">
        <v>2528</v>
      </c>
      <c r="F1906" s="70" t="s">
        <v>2531</v>
      </c>
      <c r="G1906" s="70" t="s">
        <v>2529</v>
      </c>
      <c r="H1906" s="70" t="s">
        <v>2532</v>
      </c>
      <c r="I1906" s="70" t="s">
        <v>2530</v>
      </c>
      <c r="J1906" s="70" t="s">
        <v>2534</v>
      </c>
      <c r="K1906" s="70" t="s">
        <v>2533</v>
      </c>
      <c r="L1906" s="70" t="s">
        <v>595</v>
      </c>
      <c r="M1906" s="12" t="s">
        <v>918</v>
      </c>
      <c r="N1906" s="26">
        <v>1</v>
      </c>
      <c r="O1906" s="57">
        <f>P1906</f>
        <v>1652000</v>
      </c>
      <c r="P1906" s="62">
        <v>1652000</v>
      </c>
      <c r="Q1906" s="6" t="s">
        <v>395</v>
      </c>
      <c r="R1906" s="6" t="s">
        <v>770</v>
      </c>
      <c r="S1906" s="38" t="s">
        <v>1179</v>
      </c>
      <c r="T1906" s="26">
        <v>50</v>
      </c>
    </row>
    <row r="1907" spans="1:20" s="1" customFormat="1" ht="102">
      <c r="A1907" s="3"/>
      <c r="B1907" s="6">
        <v>1891</v>
      </c>
      <c r="C1907" s="16" t="s">
        <v>714</v>
      </c>
      <c r="D1907" s="38" t="s">
        <v>601</v>
      </c>
      <c r="E1907" s="6" t="s">
        <v>2541</v>
      </c>
      <c r="F1907" s="70" t="s">
        <v>2545</v>
      </c>
      <c r="G1907" s="70" t="s">
        <v>2542</v>
      </c>
      <c r="H1907" s="70" t="s">
        <v>2546</v>
      </c>
      <c r="I1907" s="70" t="s">
        <v>2543</v>
      </c>
      <c r="J1907" s="70" t="s">
        <v>2547</v>
      </c>
      <c r="K1907" s="70" t="s">
        <v>2544</v>
      </c>
      <c r="L1907" s="6" t="s">
        <v>595</v>
      </c>
      <c r="M1907" s="12" t="s">
        <v>918</v>
      </c>
      <c r="N1907" s="26">
        <v>1</v>
      </c>
      <c r="O1907" s="57">
        <f>P1907</f>
        <v>190000</v>
      </c>
      <c r="P1907" s="62">
        <v>190000</v>
      </c>
      <c r="Q1907" s="5" t="s">
        <v>395</v>
      </c>
      <c r="R1907" s="6" t="s">
        <v>395</v>
      </c>
      <c r="S1907" s="38" t="s">
        <v>2030</v>
      </c>
      <c r="T1907" s="6">
        <v>30</v>
      </c>
    </row>
    <row r="1908" spans="1:20" s="14" customFormat="1" ht="89.25">
      <c r="A1908" s="2"/>
      <c r="B1908" s="6">
        <v>1892</v>
      </c>
      <c r="C1908" s="36" t="s">
        <v>714</v>
      </c>
      <c r="D1908" s="43" t="s">
        <v>601</v>
      </c>
      <c r="E1908" s="38" t="s">
        <v>617</v>
      </c>
      <c r="F1908" s="70" t="s">
        <v>2027</v>
      </c>
      <c r="G1908" s="70" t="s">
        <v>618</v>
      </c>
      <c r="H1908" s="70" t="s">
        <v>2324</v>
      </c>
      <c r="I1908" s="70" t="s">
        <v>619</v>
      </c>
      <c r="J1908" s="70" t="s">
        <v>2564</v>
      </c>
      <c r="K1908" s="70" t="s">
        <v>2563</v>
      </c>
      <c r="L1908" s="70" t="s">
        <v>595</v>
      </c>
      <c r="M1908" s="12" t="s">
        <v>918</v>
      </c>
      <c r="N1908" s="26">
        <v>1</v>
      </c>
      <c r="O1908" s="57">
        <f>P1908</f>
        <v>360000</v>
      </c>
      <c r="P1908" s="62">
        <v>360000</v>
      </c>
      <c r="Q1908" s="6" t="s">
        <v>395</v>
      </c>
      <c r="R1908" s="6" t="s">
        <v>395</v>
      </c>
      <c r="S1908" s="38" t="s">
        <v>2030</v>
      </c>
      <c r="T1908" s="6">
        <v>0</v>
      </c>
    </row>
    <row r="1909" spans="1:20" s="8" customFormat="1" ht="38.25">
      <c r="A1909" s="4"/>
      <c r="B1909" s="6">
        <v>1893</v>
      </c>
      <c r="C1909" s="36" t="s">
        <v>714</v>
      </c>
      <c r="D1909" s="37" t="s">
        <v>715</v>
      </c>
      <c r="E1909" s="11" t="s">
        <v>2521</v>
      </c>
      <c r="F1909" s="38" t="s">
        <v>2522</v>
      </c>
      <c r="G1909" s="38" t="s">
        <v>2523</v>
      </c>
      <c r="H1909" s="38" t="s">
        <v>2524</v>
      </c>
      <c r="I1909" s="38" t="s">
        <v>2525</v>
      </c>
      <c r="J1909" s="38" t="s">
        <v>2522</v>
      </c>
      <c r="K1909" s="38" t="s">
        <v>2523</v>
      </c>
      <c r="L1909" s="6" t="s">
        <v>595</v>
      </c>
      <c r="M1909" s="5" t="s">
        <v>2447</v>
      </c>
      <c r="N1909" s="7">
        <v>1</v>
      </c>
      <c r="O1909" s="85">
        <f>P1909/N1909</f>
        <v>62450</v>
      </c>
      <c r="P1909" s="85">
        <v>62450</v>
      </c>
      <c r="Q1909" s="6" t="s">
        <v>395</v>
      </c>
      <c r="R1909" s="6" t="s">
        <v>2526</v>
      </c>
      <c r="S1909" s="6">
        <v>111000000</v>
      </c>
      <c r="T1909" s="6">
        <v>100</v>
      </c>
    </row>
    <row r="1910" spans="1:20" ht="51" outlineLevel="1">
      <c r="B1910" s="6">
        <v>1894</v>
      </c>
      <c r="C1910" s="16" t="s">
        <v>714</v>
      </c>
      <c r="D1910" s="38" t="s">
        <v>601</v>
      </c>
      <c r="E1910" s="58" t="s">
        <v>1164</v>
      </c>
      <c r="F1910" s="70" t="s">
        <v>1931</v>
      </c>
      <c r="G1910" s="70" t="s">
        <v>1165</v>
      </c>
      <c r="H1910" s="70" t="s">
        <v>1932</v>
      </c>
      <c r="I1910" s="70" t="s">
        <v>1166</v>
      </c>
      <c r="J1910" s="70" t="s">
        <v>1933</v>
      </c>
      <c r="K1910" s="70" t="s">
        <v>84</v>
      </c>
      <c r="L1910" s="70" t="s">
        <v>595</v>
      </c>
      <c r="M1910" s="12" t="s">
        <v>918</v>
      </c>
      <c r="N1910" s="26">
        <v>1</v>
      </c>
      <c r="O1910" s="57">
        <v>312500</v>
      </c>
      <c r="P1910" s="62">
        <v>312500</v>
      </c>
      <c r="Q1910" s="6" t="s">
        <v>519</v>
      </c>
      <c r="R1910" s="6" t="s">
        <v>770</v>
      </c>
      <c r="S1910" s="38">
        <v>151000000</v>
      </c>
      <c r="T1910" s="26">
        <v>0</v>
      </c>
    </row>
    <row r="1911" spans="1:20" ht="25.5" outlineLevel="1">
      <c r="B1911" s="6">
        <v>1895</v>
      </c>
      <c r="C1911" s="16" t="s">
        <v>714</v>
      </c>
      <c r="D1911" s="38" t="s">
        <v>601</v>
      </c>
      <c r="E1911" s="58" t="s">
        <v>2549</v>
      </c>
      <c r="F1911" s="70" t="s">
        <v>2551</v>
      </c>
      <c r="G1911" s="70" t="s">
        <v>2548</v>
      </c>
      <c r="H1911" s="70" t="s">
        <v>2552</v>
      </c>
      <c r="I1911" s="70" t="s">
        <v>2550</v>
      </c>
      <c r="J1911" s="70" t="s">
        <v>2551</v>
      </c>
      <c r="K1911" s="70" t="s">
        <v>2548</v>
      </c>
      <c r="L1911" s="70" t="s">
        <v>595</v>
      </c>
      <c r="M1911" s="12" t="s">
        <v>918</v>
      </c>
      <c r="N1911" s="26">
        <v>1</v>
      </c>
      <c r="O1911" s="57">
        <f>P1911</f>
        <v>19156</v>
      </c>
      <c r="P1911" s="62">
        <v>19156</v>
      </c>
      <c r="Q1911" s="6" t="s">
        <v>395</v>
      </c>
      <c r="R1911" s="6" t="s">
        <v>395</v>
      </c>
      <c r="S1911" s="38">
        <v>151000000</v>
      </c>
      <c r="T1911" s="26">
        <v>0</v>
      </c>
    </row>
    <row r="1912" spans="1:20" ht="25.5" outlineLevel="1">
      <c r="B1912" s="6">
        <v>1896</v>
      </c>
      <c r="C1912" s="16" t="s">
        <v>714</v>
      </c>
      <c r="D1912" s="38" t="s">
        <v>601</v>
      </c>
      <c r="E1912" s="58" t="s">
        <v>2553</v>
      </c>
      <c r="F1912" s="70" t="s">
        <v>2556</v>
      </c>
      <c r="G1912" s="70" t="s">
        <v>2554</v>
      </c>
      <c r="H1912" s="70" t="s">
        <v>2557</v>
      </c>
      <c r="I1912" s="70" t="s">
        <v>2555</v>
      </c>
      <c r="J1912" s="70" t="s">
        <v>2556</v>
      </c>
      <c r="K1912" s="70" t="s">
        <v>2554</v>
      </c>
      <c r="L1912" s="70" t="s">
        <v>595</v>
      </c>
      <c r="M1912" s="12" t="s">
        <v>918</v>
      </c>
      <c r="N1912" s="26">
        <v>1</v>
      </c>
      <c r="O1912" s="57">
        <f>P1912</f>
        <v>59619</v>
      </c>
      <c r="P1912" s="62">
        <v>59619</v>
      </c>
      <c r="Q1912" s="6" t="s">
        <v>395</v>
      </c>
      <c r="R1912" s="6" t="s">
        <v>395</v>
      </c>
      <c r="S1912" s="38">
        <v>151000000</v>
      </c>
      <c r="T1912" s="26">
        <v>0</v>
      </c>
    </row>
    <row r="1913" spans="1:20" ht="153" outlineLevel="1">
      <c r="B1913" s="6">
        <v>1897</v>
      </c>
      <c r="C1913" s="16" t="s">
        <v>714</v>
      </c>
      <c r="D1913" s="38" t="s">
        <v>601</v>
      </c>
      <c r="E1913" s="58" t="s">
        <v>1324</v>
      </c>
      <c r="F1913" s="70" t="s">
        <v>1772</v>
      </c>
      <c r="G1913" s="70" t="s">
        <v>1325</v>
      </c>
      <c r="H1913" s="70" t="s">
        <v>1773</v>
      </c>
      <c r="I1913" s="70" t="s">
        <v>1326</v>
      </c>
      <c r="J1913" s="70" t="s">
        <v>1772</v>
      </c>
      <c r="K1913" s="70" t="s">
        <v>1325</v>
      </c>
      <c r="L1913" s="70" t="s">
        <v>595</v>
      </c>
      <c r="M1913" s="12" t="s">
        <v>918</v>
      </c>
      <c r="N1913" s="26">
        <v>1</v>
      </c>
      <c r="O1913" s="57">
        <f>P1913</f>
        <v>420000</v>
      </c>
      <c r="P1913" s="62">
        <v>420000</v>
      </c>
      <c r="Q1913" s="6" t="s">
        <v>395</v>
      </c>
      <c r="R1913" s="6" t="s">
        <v>770</v>
      </c>
      <c r="S1913" s="38">
        <v>151000000</v>
      </c>
      <c r="T1913" s="26">
        <v>0</v>
      </c>
    </row>
    <row r="1914" spans="1:20" ht="51" outlineLevel="1">
      <c r="B1914" s="6">
        <v>1898</v>
      </c>
      <c r="C1914" s="16" t="s">
        <v>714</v>
      </c>
      <c r="D1914" s="38" t="s">
        <v>601</v>
      </c>
      <c r="E1914" s="58" t="s">
        <v>2558</v>
      </c>
      <c r="F1914" s="70" t="s">
        <v>2561</v>
      </c>
      <c r="G1914" s="70" t="s">
        <v>2559</v>
      </c>
      <c r="H1914" s="70" t="s">
        <v>2562</v>
      </c>
      <c r="I1914" s="70" t="s">
        <v>2560</v>
      </c>
      <c r="J1914" s="70" t="s">
        <v>2561</v>
      </c>
      <c r="K1914" s="70" t="s">
        <v>2559</v>
      </c>
      <c r="L1914" s="70" t="s">
        <v>595</v>
      </c>
      <c r="M1914" s="12" t="s">
        <v>918</v>
      </c>
      <c r="N1914" s="26">
        <v>1</v>
      </c>
      <c r="O1914" s="57">
        <f>P1914</f>
        <v>178197</v>
      </c>
      <c r="P1914" s="62">
        <v>178197</v>
      </c>
      <c r="Q1914" s="6" t="s">
        <v>395</v>
      </c>
      <c r="R1914" s="6" t="s">
        <v>770</v>
      </c>
      <c r="S1914" s="38">
        <v>151000000</v>
      </c>
      <c r="T1914" s="26">
        <v>0</v>
      </c>
    </row>
    <row r="1915" spans="1:20" s="1" customFormat="1" ht="51">
      <c r="A1915" s="3"/>
      <c r="B1915" s="6">
        <v>1899</v>
      </c>
      <c r="C1915" s="16" t="s">
        <v>714</v>
      </c>
      <c r="D1915" s="5" t="s">
        <v>601</v>
      </c>
      <c r="E1915" s="38" t="s">
        <v>2535</v>
      </c>
      <c r="F1915" s="70" t="s">
        <v>2537</v>
      </c>
      <c r="G1915" s="70" t="s">
        <v>513</v>
      </c>
      <c r="H1915" s="70" t="s">
        <v>2538</v>
      </c>
      <c r="I1915" s="70" t="s">
        <v>2536</v>
      </c>
      <c r="J1915" s="70" t="s">
        <v>2540</v>
      </c>
      <c r="K1915" s="70" t="s">
        <v>2539</v>
      </c>
      <c r="L1915" s="70" t="s">
        <v>595</v>
      </c>
      <c r="M1915" s="12" t="s">
        <v>918</v>
      </c>
      <c r="N1915" s="26">
        <v>1</v>
      </c>
      <c r="O1915" s="57">
        <f>P1915</f>
        <v>130357</v>
      </c>
      <c r="P1915" s="62">
        <v>130357</v>
      </c>
      <c r="Q1915" s="6" t="s">
        <v>519</v>
      </c>
      <c r="R1915" s="6" t="s">
        <v>770</v>
      </c>
      <c r="S1915" s="38" t="s">
        <v>2527</v>
      </c>
      <c r="T1915" s="6">
        <v>30</v>
      </c>
    </row>
    <row r="1916" spans="1:20" ht="76.5" outlineLevel="1">
      <c r="B1916" s="6">
        <v>1900</v>
      </c>
      <c r="C1916" s="36" t="s">
        <v>714</v>
      </c>
      <c r="D1916" s="43" t="s">
        <v>601</v>
      </c>
      <c r="E1916" s="6" t="s">
        <v>523</v>
      </c>
      <c r="F1916" s="70" t="s">
        <v>524</v>
      </c>
      <c r="G1916" s="70" t="s">
        <v>525</v>
      </c>
      <c r="H1916" s="70" t="s">
        <v>526</v>
      </c>
      <c r="I1916" s="70" t="s">
        <v>527</v>
      </c>
      <c r="J1916" s="70" t="s">
        <v>2569</v>
      </c>
      <c r="K1916" s="70" t="s">
        <v>2568</v>
      </c>
      <c r="L1916" s="70" t="s">
        <v>595</v>
      </c>
      <c r="M1916" s="12" t="s">
        <v>918</v>
      </c>
      <c r="N1916" s="26">
        <v>1</v>
      </c>
      <c r="O1916" s="57">
        <f>P1916/N1916</f>
        <v>6600000</v>
      </c>
      <c r="P1916" s="62">
        <v>6600000</v>
      </c>
      <c r="Q1916" s="6" t="s">
        <v>519</v>
      </c>
      <c r="R1916" s="6" t="s">
        <v>398</v>
      </c>
      <c r="S1916" s="38" t="s">
        <v>1179</v>
      </c>
      <c r="T1916" s="26">
        <v>30</v>
      </c>
    </row>
    <row r="1917" spans="1:20" ht="76.5">
      <c r="B1917" s="6">
        <v>1901</v>
      </c>
      <c r="C1917" s="36" t="s">
        <v>714</v>
      </c>
      <c r="D1917" s="6" t="s">
        <v>715</v>
      </c>
      <c r="E1917" s="6" t="s">
        <v>803</v>
      </c>
      <c r="F1917" s="70" t="s">
        <v>734</v>
      </c>
      <c r="G1917" s="70" t="s">
        <v>735</v>
      </c>
      <c r="H1917" s="70" t="s">
        <v>804</v>
      </c>
      <c r="I1917" s="70" t="s">
        <v>805</v>
      </c>
      <c r="J1917" s="70" t="s">
        <v>2573</v>
      </c>
      <c r="K1917" s="70" t="s">
        <v>2570</v>
      </c>
      <c r="L1917" s="70" t="s">
        <v>595</v>
      </c>
      <c r="M1917" s="38" t="s">
        <v>648</v>
      </c>
      <c r="N1917" s="26">
        <v>1</v>
      </c>
      <c r="O1917" s="57">
        <f>P1917/N1917</f>
        <v>28000</v>
      </c>
      <c r="P1917" s="62">
        <v>28000</v>
      </c>
      <c r="Q1917" s="6" t="s">
        <v>519</v>
      </c>
      <c r="R1917" s="6" t="s">
        <v>1055</v>
      </c>
      <c r="S1917" s="6">
        <v>352410000</v>
      </c>
      <c r="T1917" s="26">
        <v>50</v>
      </c>
    </row>
    <row r="1918" spans="1:20" ht="102">
      <c r="B1918" s="6">
        <v>1902</v>
      </c>
      <c r="C1918" s="36" t="s">
        <v>714</v>
      </c>
      <c r="D1918" s="6" t="s">
        <v>715</v>
      </c>
      <c r="E1918" s="12" t="s">
        <v>752</v>
      </c>
      <c r="F1918" s="70" t="s">
        <v>983</v>
      </c>
      <c r="G1918" s="70" t="s">
        <v>983</v>
      </c>
      <c r="H1918" s="70" t="s">
        <v>2169</v>
      </c>
      <c r="I1918" s="70" t="s">
        <v>755</v>
      </c>
      <c r="J1918" s="70" t="s">
        <v>2583</v>
      </c>
      <c r="K1918" s="70" t="s">
        <v>2582</v>
      </c>
      <c r="L1918" s="70" t="s">
        <v>595</v>
      </c>
      <c r="M1918" s="38" t="s">
        <v>648</v>
      </c>
      <c r="N1918" s="26">
        <v>1</v>
      </c>
      <c r="O1918" s="57">
        <f t="shared" ref="O1918:O1926" si="51">P1918/N1918</f>
        <v>7000</v>
      </c>
      <c r="P1918" s="62">
        <v>7000</v>
      </c>
      <c r="Q1918" s="6" t="s">
        <v>519</v>
      </c>
      <c r="R1918" s="6" t="s">
        <v>1055</v>
      </c>
      <c r="S1918" s="6">
        <v>352410000</v>
      </c>
      <c r="T1918" s="6">
        <v>50</v>
      </c>
    </row>
    <row r="1919" spans="1:20" ht="55.15" customHeight="1">
      <c r="B1919" s="6">
        <v>1903</v>
      </c>
      <c r="C1919" s="36" t="s">
        <v>714</v>
      </c>
      <c r="D1919" s="6" t="s">
        <v>715</v>
      </c>
      <c r="E1919" s="12" t="s">
        <v>2597</v>
      </c>
      <c r="F1919" s="6" t="s">
        <v>1188</v>
      </c>
      <c r="G1919" s="70" t="s">
        <v>1188</v>
      </c>
      <c r="H1919" s="6" t="s">
        <v>2599</v>
      </c>
      <c r="I1919" s="70" t="s">
        <v>2598</v>
      </c>
      <c r="J1919" s="70" t="s">
        <v>2574</v>
      </c>
      <c r="K1919" s="70" t="s">
        <v>2571</v>
      </c>
      <c r="L1919" s="70" t="s">
        <v>595</v>
      </c>
      <c r="M1919" s="38" t="s">
        <v>648</v>
      </c>
      <c r="N1919" s="10">
        <v>3</v>
      </c>
      <c r="O1919" s="57">
        <f t="shared" si="51"/>
        <v>150000</v>
      </c>
      <c r="P1919" s="62">
        <v>450000</v>
      </c>
      <c r="Q1919" s="15" t="s">
        <v>519</v>
      </c>
      <c r="R1919" s="6" t="s">
        <v>1055</v>
      </c>
      <c r="S1919" s="38" t="s">
        <v>1179</v>
      </c>
      <c r="T1919" s="15">
        <v>50</v>
      </c>
    </row>
    <row r="1920" spans="1:20" ht="76.5">
      <c r="B1920" s="6">
        <v>1904</v>
      </c>
      <c r="C1920" s="36" t="s">
        <v>714</v>
      </c>
      <c r="D1920" s="6" t="s">
        <v>715</v>
      </c>
      <c r="E1920" s="6" t="s">
        <v>803</v>
      </c>
      <c r="F1920" s="70" t="s">
        <v>734</v>
      </c>
      <c r="G1920" s="70" t="s">
        <v>735</v>
      </c>
      <c r="H1920" s="70" t="s">
        <v>804</v>
      </c>
      <c r="I1920" s="70" t="s">
        <v>805</v>
      </c>
      <c r="J1920" s="70" t="s">
        <v>2572</v>
      </c>
      <c r="K1920" s="70" t="s">
        <v>2570</v>
      </c>
      <c r="L1920" s="70" t="s">
        <v>595</v>
      </c>
      <c r="M1920" s="38" t="s">
        <v>648</v>
      </c>
      <c r="N1920" s="26">
        <v>1</v>
      </c>
      <c r="O1920" s="57">
        <f t="shared" si="51"/>
        <v>28000</v>
      </c>
      <c r="P1920" s="62">
        <v>28000</v>
      </c>
      <c r="Q1920" s="6" t="s">
        <v>519</v>
      </c>
      <c r="R1920" s="6" t="s">
        <v>1055</v>
      </c>
      <c r="S1920" s="6">
        <v>552210000</v>
      </c>
      <c r="T1920" s="26">
        <v>50</v>
      </c>
    </row>
    <row r="1921" spans="1:20" ht="102">
      <c r="B1921" s="6">
        <v>1905</v>
      </c>
      <c r="C1921" s="36" t="s">
        <v>714</v>
      </c>
      <c r="D1921" s="6" t="s">
        <v>715</v>
      </c>
      <c r="E1921" s="12" t="s">
        <v>752</v>
      </c>
      <c r="F1921" s="70" t="s">
        <v>983</v>
      </c>
      <c r="G1921" s="70" t="s">
        <v>983</v>
      </c>
      <c r="H1921" s="70" t="s">
        <v>2169</v>
      </c>
      <c r="I1921" s="70" t="s">
        <v>755</v>
      </c>
      <c r="J1921" s="70" t="s">
        <v>2583</v>
      </c>
      <c r="K1921" s="70" t="s">
        <v>2582</v>
      </c>
      <c r="L1921" s="70" t="s">
        <v>595</v>
      </c>
      <c r="M1921" s="38" t="s">
        <v>648</v>
      </c>
      <c r="N1921" s="26">
        <v>1</v>
      </c>
      <c r="O1921" s="57">
        <f t="shared" si="51"/>
        <v>7000</v>
      </c>
      <c r="P1921" s="62">
        <v>7000</v>
      </c>
      <c r="Q1921" s="6" t="s">
        <v>519</v>
      </c>
      <c r="R1921" s="6" t="s">
        <v>1055</v>
      </c>
      <c r="S1921" s="6">
        <v>552210000</v>
      </c>
      <c r="T1921" s="6">
        <v>50</v>
      </c>
    </row>
    <row r="1922" spans="1:20" ht="76.5">
      <c r="B1922" s="6">
        <v>1906</v>
      </c>
      <c r="C1922" s="36" t="s">
        <v>714</v>
      </c>
      <c r="D1922" s="6" t="s">
        <v>715</v>
      </c>
      <c r="E1922" s="6" t="s">
        <v>803</v>
      </c>
      <c r="F1922" s="70" t="s">
        <v>734</v>
      </c>
      <c r="G1922" s="70" t="s">
        <v>735</v>
      </c>
      <c r="H1922" s="70" t="s">
        <v>804</v>
      </c>
      <c r="I1922" s="70" t="s">
        <v>805</v>
      </c>
      <c r="J1922" s="70" t="s">
        <v>2572</v>
      </c>
      <c r="K1922" s="70" t="s">
        <v>2570</v>
      </c>
      <c r="L1922" s="70" t="s">
        <v>595</v>
      </c>
      <c r="M1922" s="38" t="s">
        <v>648</v>
      </c>
      <c r="N1922" s="26">
        <v>1</v>
      </c>
      <c r="O1922" s="57">
        <f t="shared" si="51"/>
        <v>28000</v>
      </c>
      <c r="P1922" s="62">
        <v>28000</v>
      </c>
      <c r="Q1922" s="6" t="s">
        <v>519</v>
      </c>
      <c r="R1922" s="6" t="s">
        <v>1055</v>
      </c>
      <c r="S1922" s="38" t="s">
        <v>2034</v>
      </c>
      <c r="T1922" s="26">
        <v>50</v>
      </c>
    </row>
    <row r="1923" spans="1:20" ht="102">
      <c r="B1923" s="6">
        <v>1907</v>
      </c>
      <c r="C1923" s="36" t="s">
        <v>714</v>
      </c>
      <c r="D1923" s="6" t="s">
        <v>715</v>
      </c>
      <c r="E1923" s="12" t="s">
        <v>752</v>
      </c>
      <c r="F1923" s="70" t="s">
        <v>983</v>
      </c>
      <c r="G1923" s="70" t="s">
        <v>983</v>
      </c>
      <c r="H1923" s="70" t="s">
        <v>2169</v>
      </c>
      <c r="I1923" s="70" t="s">
        <v>755</v>
      </c>
      <c r="J1923" s="70" t="s">
        <v>2583</v>
      </c>
      <c r="K1923" s="70" t="s">
        <v>2582</v>
      </c>
      <c r="L1923" s="70" t="s">
        <v>595</v>
      </c>
      <c r="M1923" s="38" t="s">
        <v>648</v>
      </c>
      <c r="N1923" s="26">
        <v>1</v>
      </c>
      <c r="O1923" s="57">
        <f t="shared" si="51"/>
        <v>7000</v>
      </c>
      <c r="P1923" s="62">
        <v>7000</v>
      </c>
      <c r="Q1923" s="6" t="s">
        <v>519</v>
      </c>
      <c r="R1923" s="6" t="s">
        <v>1055</v>
      </c>
      <c r="S1923" s="38" t="s">
        <v>2034</v>
      </c>
      <c r="T1923" s="6">
        <v>50</v>
      </c>
    </row>
    <row r="1924" spans="1:20" ht="63.75">
      <c r="B1924" s="6">
        <v>1908</v>
      </c>
      <c r="C1924" s="36" t="s">
        <v>714</v>
      </c>
      <c r="D1924" s="43" t="s">
        <v>601</v>
      </c>
      <c r="E1924" s="6" t="s">
        <v>602</v>
      </c>
      <c r="F1924" s="70" t="s">
        <v>603</v>
      </c>
      <c r="G1924" s="70" t="s">
        <v>604</v>
      </c>
      <c r="H1924" s="70" t="s">
        <v>1024</v>
      </c>
      <c r="I1924" s="70" t="s">
        <v>606</v>
      </c>
      <c r="J1924" s="70" t="s">
        <v>2575</v>
      </c>
      <c r="K1924" s="70" t="s">
        <v>95</v>
      </c>
      <c r="L1924" s="70" t="s">
        <v>595</v>
      </c>
      <c r="M1924" s="12" t="s">
        <v>918</v>
      </c>
      <c r="N1924" s="26">
        <v>1</v>
      </c>
      <c r="O1924" s="57">
        <f t="shared" si="51"/>
        <v>1590000</v>
      </c>
      <c r="P1924" s="57">
        <v>1590000</v>
      </c>
      <c r="Q1924" s="6" t="s">
        <v>519</v>
      </c>
      <c r="R1924" s="6" t="s">
        <v>770</v>
      </c>
      <c r="S1924" s="38">
        <v>392410000</v>
      </c>
      <c r="T1924" s="6">
        <v>0</v>
      </c>
    </row>
    <row r="1925" spans="1:20" ht="63.75">
      <c r="B1925" s="6">
        <v>1909</v>
      </c>
      <c r="C1925" s="36" t="s">
        <v>714</v>
      </c>
      <c r="D1925" s="43" t="s">
        <v>601</v>
      </c>
      <c r="E1925" s="6" t="s">
        <v>602</v>
      </c>
      <c r="F1925" s="70" t="s">
        <v>603</v>
      </c>
      <c r="G1925" s="70" t="s">
        <v>604</v>
      </c>
      <c r="H1925" s="70" t="s">
        <v>1024</v>
      </c>
      <c r="I1925" s="70" t="s">
        <v>606</v>
      </c>
      <c r="J1925" s="70" t="s">
        <v>2575</v>
      </c>
      <c r="K1925" s="70" t="s">
        <v>95</v>
      </c>
      <c r="L1925" s="70" t="s">
        <v>595</v>
      </c>
      <c r="M1925" s="12" t="s">
        <v>918</v>
      </c>
      <c r="N1925" s="26">
        <v>1</v>
      </c>
      <c r="O1925" s="57">
        <f t="shared" si="51"/>
        <v>1590000</v>
      </c>
      <c r="P1925" s="57">
        <v>1590000</v>
      </c>
      <c r="Q1925" s="6" t="s">
        <v>519</v>
      </c>
      <c r="R1925" s="6" t="s">
        <v>770</v>
      </c>
      <c r="S1925" s="6">
        <v>552210000</v>
      </c>
      <c r="T1925" s="6">
        <v>0</v>
      </c>
    </row>
    <row r="1926" spans="1:20" ht="63.75">
      <c r="B1926" s="6">
        <v>1910</v>
      </c>
      <c r="C1926" s="36" t="s">
        <v>714</v>
      </c>
      <c r="D1926" s="43" t="s">
        <v>601</v>
      </c>
      <c r="E1926" s="6" t="s">
        <v>602</v>
      </c>
      <c r="F1926" s="70" t="s">
        <v>603</v>
      </c>
      <c r="G1926" s="70" t="s">
        <v>604</v>
      </c>
      <c r="H1926" s="70" t="s">
        <v>1024</v>
      </c>
      <c r="I1926" s="70" t="s">
        <v>606</v>
      </c>
      <c r="J1926" s="70" t="s">
        <v>2575</v>
      </c>
      <c r="K1926" s="70" t="s">
        <v>95</v>
      </c>
      <c r="L1926" s="70" t="s">
        <v>595</v>
      </c>
      <c r="M1926" s="12" t="s">
        <v>918</v>
      </c>
      <c r="N1926" s="26">
        <v>1</v>
      </c>
      <c r="O1926" s="57">
        <f t="shared" si="51"/>
        <v>1590000</v>
      </c>
      <c r="P1926" s="57">
        <v>1590000</v>
      </c>
      <c r="Q1926" s="6" t="s">
        <v>519</v>
      </c>
      <c r="R1926" s="6" t="s">
        <v>770</v>
      </c>
      <c r="S1926" s="6">
        <v>352410000</v>
      </c>
      <c r="T1926" s="6">
        <v>0</v>
      </c>
    </row>
    <row r="1927" spans="1:20" ht="51">
      <c r="B1927" s="6">
        <v>1911</v>
      </c>
      <c r="C1927" s="16" t="s">
        <v>714</v>
      </c>
      <c r="D1927" s="38" t="s">
        <v>601</v>
      </c>
      <c r="E1927" s="38" t="s">
        <v>1470</v>
      </c>
      <c r="F1927" s="70" t="s">
        <v>2013</v>
      </c>
      <c r="G1927" s="70" t="s">
        <v>1471</v>
      </c>
      <c r="H1927" s="70" t="s">
        <v>2013</v>
      </c>
      <c r="I1927" s="70" t="s">
        <v>1471</v>
      </c>
      <c r="J1927" s="70" t="s">
        <v>2578</v>
      </c>
      <c r="K1927" s="70" t="s">
        <v>2576</v>
      </c>
      <c r="L1927" s="70" t="s">
        <v>595</v>
      </c>
      <c r="M1927" s="12" t="s">
        <v>918</v>
      </c>
      <c r="N1927" s="26">
        <v>1</v>
      </c>
      <c r="O1927" s="57">
        <f>P1927/N1927</f>
        <v>0</v>
      </c>
      <c r="P1927" s="62">
        <f>8928571-8928571</f>
        <v>0</v>
      </c>
      <c r="Q1927" s="6" t="s">
        <v>702</v>
      </c>
      <c r="R1927" s="16" t="s">
        <v>590</v>
      </c>
      <c r="S1927" s="38" t="s">
        <v>1179</v>
      </c>
      <c r="T1927" s="26">
        <v>30</v>
      </c>
    </row>
    <row r="1928" spans="1:20" ht="38.25">
      <c r="B1928" s="6">
        <v>1912</v>
      </c>
      <c r="C1928" s="16" t="s">
        <v>714</v>
      </c>
      <c r="D1928" s="38" t="s">
        <v>601</v>
      </c>
      <c r="E1928" s="38" t="s">
        <v>1470</v>
      </c>
      <c r="F1928" s="70" t="s">
        <v>2013</v>
      </c>
      <c r="G1928" s="70" t="s">
        <v>1471</v>
      </c>
      <c r="H1928" s="70" t="s">
        <v>2013</v>
      </c>
      <c r="I1928" s="70" t="s">
        <v>1471</v>
      </c>
      <c r="J1928" s="70" t="s">
        <v>2579</v>
      </c>
      <c r="K1928" s="70" t="s">
        <v>2577</v>
      </c>
      <c r="L1928" s="70" t="s">
        <v>595</v>
      </c>
      <c r="M1928" s="12" t="s">
        <v>918</v>
      </c>
      <c r="N1928" s="26">
        <v>1</v>
      </c>
      <c r="O1928" s="57">
        <f>P1928/N1928</f>
        <v>0</v>
      </c>
      <c r="P1928" s="62">
        <f>2412632-2412632</f>
        <v>0</v>
      </c>
      <c r="Q1928" s="6" t="s">
        <v>616</v>
      </c>
      <c r="R1928" s="16" t="s">
        <v>506</v>
      </c>
      <c r="S1928" s="38" t="s">
        <v>1179</v>
      </c>
      <c r="T1928" s="26">
        <v>50</v>
      </c>
    </row>
    <row r="1929" spans="1:20" ht="25.5">
      <c r="B1929" s="6">
        <v>1913</v>
      </c>
      <c r="C1929" s="36" t="s">
        <v>714</v>
      </c>
      <c r="D1929" s="37" t="s">
        <v>715</v>
      </c>
      <c r="E1929" s="12" t="s">
        <v>935</v>
      </c>
      <c r="F1929" s="70" t="s">
        <v>2592</v>
      </c>
      <c r="G1929" s="70" t="s">
        <v>467</v>
      </c>
      <c r="H1929" s="70" t="s">
        <v>1725</v>
      </c>
      <c r="I1929" s="70" t="s">
        <v>469</v>
      </c>
      <c r="J1929" s="70" t="s">
        <v>2593</v>
      </c>
      <c r="K1929" s="70" t="s">
        <v>936</v>
      </c>
      <c r="L1929" s="70" t="s">
        <v>595</v>
      </c>
      <c r="M1929" s="38" t="s">
        <v>648</v>
      </c>
      <c r="N1929" s="26">
        <v>14000</v>
      </c>
      <c r="O1929" s="57">
        <v>80</v>
      </c>
      <c r="P1929" s="62">
        <v>1120000</v>
      </c>
      <c r="Q1929" s="6" t="s">
        <v>395</v>
      </c>
      <c r="R1929" s="6" t="s">
        <v>519</v>
      </c>
      <c r="S1929" s="38" t="s">
        <v>1179</v>
      </c>
      <c r="T1929" s="26">
        <v>50</v>
      </c>
    </row>
    <row r="1930" spans="1:20" ht="51">
      <c r="A1930" s="61"/>
      <c r="B1930" s="6">
        <v>1914</v>
      </c>
      <c r="C1930" s="36" t="s">
        <v>714</v>
      </c>
      <c r="D1930" s="37" t="s">
        <v>715</v>
      </c>
      <c r="E1930" s="38" t="s">
        <v>2595</v>
      </c>
      <c r="F1930" s="70" t="s">
        <v>119</v>
      </c>
      <c r="G1930" s="70" t="s">
        <v>119</v>
      </c>
      <c r="H1930" s="70" t="s">
        <v>2596</v>
      </c>
      <c r="I1930" s="70" t="s">
        <v>2594</v>
      </c>
      <c r="J1930" s="70" t="s">
        <v>2596</v>
      </c>
      <c r="K1930" s="70" t="s">
        <v>2594</v>
      </c>
      <c r="L1930" s="70" t="s">
        <v>595</v>
      </c>
      <c r="M1930" s="38" t="s">
        <v>648</v>
      </c>
      <c r="N1930" s="26">
        <v>14000</v>
      </c>
      <c r="O1930" s="57">
        <v>61</v>
      </c>
      <c r="P1930" s="62">
        <v>854000</v>
      </c>
      <c r="Q1930" s="6" t="s">
        <v>395</v>
      </c>
      <c r="R1930" s="6" t="s">
        <v>519</v>
      </c>
      <c r="S1930" s="38" t="s">
        <v>1179</v>
      </c>
      <c r="T1930" s="26">
        <v>50</v>
      </c>
    </row>
    <row r="1931" spans="1:20" s="14" customFormat="1" ht="102">
      <c r="A1931" s="2"/>
      <c r="B1931" s="6">
        <v>1915</v>
      </c>
      <c r="C1931" s="36" t="s">
        <v>714</v>
      </c>
      <c r="D1931" s="52" t="s">
        <v>601</v>
      </c>
      <c r="E1931" s="38" t="s">
        <v>2584</v>
      </c>
      <c r="F1931" s="70" t="s">
        <v>2586</v>
      </c>
      <c r="G1931" s="70" t="s">
        <v>2585</v>
      </c>
      <c r="H1931" s="70" t="s">
        <v>2586</v>
      </c>
      <c r="I1931" s="70" t="s">
        <v>2585</v>
      </c>
      <c r="J1931" s="70" t="s">
        <v>2586</v>
      </c>
      <c r="K1931" s="70" t="s">
        <v>2585</v>
      </c>
      <c r="L1931" s="70" t="s">
        <v>595</v>
      </c>
      <c r="M1931" s="12" t="s">
        <v>918</v>
      </c>
      <c r="N1931" s="26">
        <v>1</v>
      </c>
      <c r="O1931" s="57">
        <f t="shared" ref="O1931:O1994" si="52">P1931/N1931</f>
        <v>35200</v>
      </c>
      <c r="P1931" s="62">
        <v>35200</v>
      </c>
      <c r="Q1931" s="6" t="s">
        <v>395</v>
      </c>
      <c r="R1931" s="6" t="s">
        <v>395</v>
      </c>
      <c r="S1931" s="38" t="s">
        <v>2037</v>
      </c>
      <c r="T1931" s="6">
        <v>100</v>
      </c>
    </row>
    <row r="1932" spans="1:20" s="14" customFormat="1" ht="63.75">
      <c r="A1932" s="2"/>
      <c r="B1932" s="6">
        <v>1916</v>
      </c>
      <c r="C1932" s="36" t="s">
        <v>714</v>
      </c>
      <c r="D1932" s="52" t="s">
        <v>601</v>
      </c>
      <c r="E1932" s="38" t="s">
        <v>2587</v>
      </c>
      <c r="F1932" s="61" t="s">
        <v>2590</v>
      </c>
      <c r="G1932" s="70" t="s">
        <v>2588</v>
      </c>
      <c r="H1932" s="61" t="s">
        <v>2591</v>
      </c>
      <c r="I1932" s="70" t="s">
        <v>2589</v>
      </c>
      <c r="J1932" s="61" t="s">
        <v>2590</v>
      </c>
      <c r="K1932" s="70" t="s">
        <v>2588</v>
      </c>
      <c r="L1932" s="70" t="s">
        <v>595</v>
      </c>
      <c r="M1932" s="12" t="s">
        <v>918</v>
      </c>
      <c r="N1932" s="26">
        <v>1</v>
      </c>
      <c r="O1932" s="57">
        <f t="shared" si="52"/>
        <v>200000</v>
      </c>
      <c r="P1932" s="62">
        <v>200000</v>
      </c>
      <c r="Q1932" s="6" t="s">
        <v>519</v>
      </c>
      <c r="R1932" s="6" t="s">
        <v>519</v>
      </c>
      <c r="S1932" s="38" t="s">
        <v>2037</v>
      </c>
      <c r="T1932" s="6">
        <v>30</v>
      </c>
    </row>
    <row r="1933" spans="1:20" s="31" customFormat="1" ht="318.75">
      <c r="A1933" s="30"/>
      <c r="B1933" s="6">
        <v>1917</v>
      </c>
      <c r="C1933" s="6" t="s">
        <v>714</v>
      </c>
      <c r="D1933" s="52" t="s">
        <v>601</v>
      </c>
      <c r="E1933" s="12" t="s">
        <v>946</v>
      </c>
      <c r="F1933" s="6" t="s">
        <v>1159</v>
      </c>
      <c r="G1933" s="93" t="s">
        <v>947</v>
      </c>
      <c r="H1933" s="6" t="s">
        <v>1977</v>
      </c>
      <c r="I1933" s="93" t="s">
        <v>948</v>
      </c>
      <c r="J1933" s="6" t="s">
        <v>2720</v>
      </c>
      <c r="K1933" s="6" t="s">
        <v>2718</v>
      </c>
      <c r="L1933" s="6" t="s">
        <v>595</v>
      </c>
      <c r="M1933" s="6" t="s">
        <v>918</v>
      </c>
      <c r="N1933" s="6">
        <v>1</v>
      </c>
      <c r="O1933" s="57">
        <f t="shared" si="52"/>
        <v>32302731</v>
      </c>
      <c r="P1933" s="57">
        <f>22763150+9539581</f>
        <v>32302731</v>
      </c>
      <c r="Q1933" s="6" t="s">
        <v>519</v>
      </c>
      <c r="R1933" s="6" t="s">
        <v>770</v>
      </c>
      <c r="S1933" s="6">
        <v>710000000</v>
      </c>
      <c r="T1933" s="6">
        <v>30</v>
      </c>
    </row>
    <row r="1934" spans="1:20" s="31" customFormat="1" ht="318.75">
      <c r="A1934" s="30"/>
      <c r="B1934" s="6">
        <v>1918</v>
      </c>
      <c r="C1934" s="6" t="s">
        <v>714</v>
      </c>
      <c r="D1934" s="52" t="s">
        <v>601</v>
      </c>
      <c r="E1934" s="12" t="s">
        <v>946</v>
      </c>
      <c r="F1934" s="6" t="s">
        <v>1159</v>
      </c>
      <c r="G1934" s="93" t="s">
        <v>947</v>
      </c>
      <c r="H1934" s="6" t="s">
        <v>1977</v>
      </c>
      <c r="I1934" s="93" t="s">
        <v>948</v>
      </c>
      <c r="J1934" s="6" t="s">
        <v>2721</v>
      </c>
      <c r="K1934" s="6" t="s">
        <v>2719</v>
      </c>
      <c r="L1934" s="6" t="s">
        <v>595</v>
      </c>
      <c r="M1934" s="6" t="s">
        <v>918</v>
      </c>
      <c r="N1934" s="6">
        <v>1</v>
      </c>
      <c r="O1934" s="57">
        <f t="shared" si="52"/>
        <v>32302731</v>
      </c>
      <c r="P1934" s="57">
        <f>22763150+9539581</f>
        <v>32302731</v>
      </c>
      <c r="Q1934" s="6" t="s">
        <v>519</v>
      </c>
      <c r="R1934" s="6" t="s">
        <v>770</v>
      </c>
      <c r="S1934" s="6">
        <v>751110000</v>
      </c>
      <c r="T1934" s="6">
        <v>30</v>
      </c>
    </row>
    <row r="1935" spans="1:20" s="31" customFormat="1" ht="140.25">
      <c r="A1935" s="30"/>
      <c r="B1935" s="6">
        <v>1919</v>
      </c>
      <c r="C1935" s="6" t="s">
        <v>714</v>
      </c>
      <c r="D1935" s="52" t="s">
        <v>601</v>
      </c>
      <c r="E1935" s="12" t="s">
        <v>593</v>
      </c>
      <c r="F1935" s="6" t="s">
        <v>2370</v>
      </c>
      <c r="G1935" s="93" t="s">
        <v>594</v>
      </c>
      <c r="H1935" s="6" t="s">
        <v>2371</v>
      </c>
      <c r="I1935" s="93" t="s">
        <v>594</v>
      </c>
      <c r="J1935" s="6" t="s">
        <v>2661</v>
      </c>
      <c r="K1935" s="6" t="s">
        <v>2640</v>
      </c>
      <c r="L1935" s="6" t="s">
        <v>595</v>
      </c>
      <c r="M1935" s="6" t="s">
        <v>918</v>
      </c>
      <c r="N1935" s="6">
        <v>1</v>
      </c>
      <c r="O1935" s="57">
        <f t="shared" si="52"/>
        <v>4958287</v>
      </c>
      <c r="P1935" s="57">
        <v>4958287</v>
      </c>
      <c r="Q1935" s="6" t="s">
        <v>519</v>
      </c>
      <c r="R1935" s="6" t="s">
        <v>770</v>
      </c>
      <c r="S1935" s="6">
        <v>751110000</v>
      </c>
      <c r="T1935" s="6">
        <v>30</v>
      </c>
    </row>
    <row r="1936" spans="1:20" s="31" customFormat="1" ht="115.5" customHeight="1">
      <c r="A1936" s="30"/>
      <c r="B1936" s="6">
        <v>1920</v>
      </c>
      <c r="C1936" s="6" t="s">
        <v>714</v>
      </c>
      <c r="D1936" s="52" t="s">
        <v>601</v>
      </c>
      <c r="E1936" s="12" t="s">
        <v>593</v>
      </c>
      <c r="F1936" s="6" t="s">
        <v>2370</v>
      </c>
      <c r="G1936" s="93" t="s">
        <v>594</v>
      </c>
      <c r="H1936" s="6" t="s">
        <v>2371</v>
      </c>
      <c r="I1936" s="93" t="s">
        <v>594</v>
      </c>
      <c r="J1936" s="6" t="s">
        <v>2662</v>
      </c>
      <c r="K1936" s="6" t="s">
        <v>2639</v>
      </c>
      <c r="L1936" s="6" t="s">
        <v>595</v>
      </c>
      <c r="M1936" s="6" t="s">
        <v>918</v>
      </c>
      <c r="N1936" s="6">
        <v>1</v>
      </c>
      <c r="O1936" s="57">
        <f t="shared" si="52"/>
        <v>4958287</v>
      </c>
      <c r="P1936" s="57">
        <v>4958287</v>
      </c>
      <c r="Q1936" s="6" t="s">
        <v>519</v>
      </c>
      <c r="R1936" s="6" t="s">
        <v>770</v>
      </c>
      <c r="S1936" s="6">
        <v>710000000</v>
      </c>
      <c r="T1936" s="6">
        <v>30</v>
      </c>
    </row>
    <row r="1937" spans="1:20" s="31" customFormat="1" ht="51">
      <c r="A1937" s="30"/>
      <c r="B1937" s="6">
        <v>1921</v>
      </c>
      <c r="C1937" s="6" t="s">
        <v>714</v>
      </c>
      <c r="D1937" s="52" t="s">
        <v>601</v>
      </c>
      <c r="E1937" s="94" t="s">
        <v>2607</v>
      </c>
      <c r="F1937" s="6" t="s">
        <v>2631</v>
      </c>
      <c r="G1937" s="95" t="s">
        <v>2608</v>
      </c>
      <c r="H1937" s="6" t="s">
        <v>2631</v>
      </c>
      <c r="I1937" s="95" t="s">
        <v>2608</v>
      </c>
      <c r="J1937" s="6" t="s">
        <v>2663</v>
      </c>
      <c r="K1937" s="6" t="s">
        <v>2641</v>
      </c>
      <c r="L1937" s="6" t="s">
        <v>595</v>
      </c>
      <c r="M1937" s="6" t="s">
        <v>918</v>
      </c>
      <c r="N1937" s="6">
        <v>1</v>
      </c>
      <c r="O1937" s="57">
        <f t="shared" si="52"/>
        <v>2044643</v>
      </c>
      <c r="P1937" s="57">
        <v>2044643</v>
      </c>
      <c r="Q1937" s="6" t="s">
        <v>519</v>
      </c>
      <c r="R1937" s="6" t="s">
        <v>770</v>
      </c>
      <c r="S1937" s="6">
        <v>751110000</v>
      </c>
      <c r="T1937" s="6">
        <v>30</v>
      </c>
    </row>
    <row r="1938" spans="1:20" s="31" customFormat="1" ht="63.75">
      <c r="A1938" s="30"/>
      <c r="B1938" s="6">
        <v>1922</v>
      </c>
      <c r="C1938" s="6" t="s">
        <v>714</v>
      </c>
      <c r="D1938" s="52" t="s">
        <v>601</v>
      </c>
      <c r="E1938" s="12" t="s">
        <v>2643</v>
      </c>
      <c r="F1938" s="6" t="s">
        <v>521</v>
      </c>
      <c r="G1938" s="93" t="s">
        <v>2644</v>
      </c>
      <c r="H1938" s="6" t="s">
        <v>2664</v>
      </c>
      <c r="I1938" s="93" t="s">
        <v>2645</v>
      </c>
      <c r="J1938" s="6" t="s">
        <v>2665</v>
      </c>
      <c r="K1938" s="6" t="s">
        <v>2642</v>
      </c>
      <c r="L1938" s="6" t="s">
        <v>595</v>
      </c>
      <c r="M1938" s="6" t="s">
        <v>918</v>
      </c>
      <c r="N1938" s="6">
        <v>1</v>
      </c>
      <c r="O1938" s="57">
        <f t="shared" si="52"/>
        <v>0</v>
      </c>
      <c r="P1938" s="57">
        <f>13428571-13428571</f>
        <v>0</v>
      </c>
      <c r="Q1938" s="6" t="s">
        <v>616</v>
      </c>
      <c r="R1938" s="6" t="s">
        <v>770</v>
      </c>
      <c r="S1938" s="6">
        <v>751110000</v>
      </c>
      <c r="T1938" s="6">
        <v>30</v>
      </c>
    </row>
    <row r="1939" spans="1:20" s="31" customFormat="1" ht="165.75">
      <c r="A1939" s="30"/>
      <c r="B1939" s="6">
        <v>1923</v>
      </c>
      <c r="C1939" s="6" t="s">
        <v>714</v>
      </c>
      <c r="D1939" s="52" t="s">
        <v>601</v>
      </c>
      <c r="E1939" s="12" t="s">
        <v>946</v>
      </c>
      <c r="F1939" s="6" t="s">
        <v>1159</v>
      </c>
      <c r="G1939" s="93" t="s">
        <v>947</v>
      </c>
      <c r="H1939" s="6" t="s">
        <v>1977</v>
      </c>
      <c r="I1939" s="93" t="s">
        <v>948</v>
      </c>
      <c r="J1939" s="6" t="s">
        <v>2666</v>
      </c>
      <c r="K1939" s="6" t="s">
        <v>2646</v>
      </c>
      <c r="L1939" s="6" t="s">
        <v>595</v>
      </c>
      <c r="M1939" s="6" t="s">
        <v>918</v>
      </c>
      <c r="N1939" s="6">
        <v>1</v>
      </c>
      <c r="O1939" s="57">
        <f t="shared" si="52"/>
        <v>5015200</v>
      </c>
      <c r="P1939" s="57">
        <f>2246658+753342+2015200</f>
        <v>5015200</v>
      </c>
      <c r="Q1939" s="6" t="s">
        <v>505</v>
      </c>
      <c r="R1939" s="6" t="s">
        <v>770</v>
      </c>
      <c r="S1939" s="6">
        <v>751110000</v>
      </c>
      <c r="T1939" s="6">
        <v>30</v>
      </c>
    </row>
    <row r="1940" spans="1:20" s="31" customFormat="1" ht="204">
      <c r="A1940" s="30"/>
      <c r="B1940" s="6">
        <v>1924</v>
      </c>
      <c r="C1940" s="6" t="s">
        <v>714</v>
      </c>
      <c r="D1940" s="52" t="s">
        <v>601</v>
      </c>
      <c r="E1940" s="12" t="s">
        <v>1447</v>
      </c>
      <c r="F1940" s="6" t="s">
        <v>1971</v>
      </c>
      <c r="G1940" s="93" t="s">
        <v>1448</v>
      </c>
      <c r="H1940" s="6" t="s">
        <v>1972</v>
      </c>
      <c r="I1940" s="93" t="s">
        <v>1449</v>
      </c>
      <c r="J1940" s="6" t="s">
        <v>2667</v>
      </c>
      <c r="K1940" s="6" t="s">
        <v>2710</v>
      </c>
      <c r="L1940" s="6" t="s">
        <v>595</v>
      </c>
      <c r="M1940" s="6" t="s">
        <v>918</v>
      </c>
      <c r="N1940" s="6">
        <v>1</v>
      </c>
      <c r="O1940" s="57">
        <f t="shared" si="52"/>
        <v>0</v>
      </c>
      <c r="P1940" s="57">
        <f>9539581-9539581</f>
        <v>0</v>
      </c>
      <c r="Q1940" s="6" t="s">
        <v>519</v>
      </c>
      <c r="R1940" s="6" t="s">
        <v>770</v>
      </c>
      <c r="S1940" s="6">
        <v>710000000</v>
      </c>
      <c r="T1940" s="6">
        <v>50</v>
      </c>
    </row>
    <row r="1941" spans="1:20" s="31" customFormat="1" ht="204">
      <c r="A1941" s="30"/>
      <c r="B1941" s="6">
        <v>1925</v>
      </c>
      <c r="C1941" s="6" t="s">
        <v>714</v>
      </c>
      <c r="D1941" s="52" t="s">
        <v>601</v>
      </c>
      <c r="E1941" s="12" t="s">
        <v>1447</v>
      </c>
      <c r="F1941" s="6" t="s">
        <v>1971</v>
      </c>
      <c r="G1941" s="93" t="s">
        <v>1448</v>
      </c>
      <c r="H1941" s="6" t="s">
        <v>1972</v>
      </c>
      <c r="I1941" s="93" t="s">
        <v>1449</v>
      </c>
      <c r="J1941" s="6" t="s">
        <v>2667</v>
      </c>
      <c r="K1941" s="6" t="s">
        <v>2711</v>
      </c>
      <c r="L1941" s="6" t="s">
        <v>595</v>
      </c>
      <c r="M1941" s="6" t="s">
        <v>918</v>
      </c>
      <c r="N1941" s="6">
        <v>1</v>
      </c>
      <c r="O1941" s="57">
        <f t="shared" si="52"/>
        <v>0</v>
      </c>
      <c r="P1941" s="57">
        <f>9539581-9539581</f>
        <v>0</v>
      </c>
      <c r="Q1941" s="6" t="s">
        <v>519</v>
      </c>
      <c r="R1941" s="6" t="s">
        <v>770</v>
      </c>
      <c r="S1941" s="6">
        <v>751110000</v>
      </c>
      <c r="T1941" s="6">
        <v>50</v>
      </c>
    </row>
    <row r="1942" spans="1:20" s="31" customFormat="1" ht="187.5" customHeight="1">
      <c r="A1942" s="30"/>
      <c r="B1942" s="6">
        <v>1926</v>
      </c>
      <c r="C1942" s="6" t="s">
        <v>714</v>
      </c>
      <c r="D1942" s="52" t="s">
        <v>601</v>
      </c>
      <c r="E1942" s="12" t="s">
        <v>970</v>
      </c>
      <c r="F1942" s="6" t="s">
        <v>1961</v>
      </c>
      <c r="G1942" s="93" t="s">
        <v>920</v>
      </c>
      <c r="H1942" s="6" t="s">
        <v>1841</v>
      </c>
      <c r="I1942" s="93" t="s">
        <v>1503</v>
      </c>
      <c r="J1942" s="6" t="s">
        <v>2725</v>
      </c>
      <c r="K1942" s="6" t="s">
        <v>2724</v>
      </c>
      <c r="L1942" s="6" t="s">
        <v>595</v>
      </c>
      <c r="M1942" s="6" t="s">
        <v>918</v>
      </c>
      <c r="N1942" s="6">
        <v>1</v>
      </c>
      <c r="O1942" s="57">
        <f t="shared" si="52"/>
        <v>3800000</v>
      </c>
      <c r="P1942" s="57">
        <f>7600000-3800000</f>
        <v>3800000</v>
      </c>
      <c r="Q1942" s="6" t="s">
        <v>519</v>
      </c>
      <c r="R1942" s="6" t="s">
        <v>770</v>
      </c>
      <c r="S1942" s="6">
        <v>751110000</v>
      </c>
      <c r="T1942" s="6">
        <v>30</v>
      </c>
    </row>
    <row r="1943" spans="1:20" s="31" customFormat="1" ht="99.75" customHeight="1">
      <c r="A1943" s="30"/>
      <c r="B1943" s="6">
        <v>1927</v>
      </c>
      <c r="C1943" s="6" t="s">
        <v>714</v>
      </c>
      <c r="D1943" s="52" t="s">
        <v>601</v>
      </c>
      <c r="E1943" s="12" t="s">
        <v>2728</v>
      </c>
      <c r="F1943" s="6" t="s">
        <v>2731</v>
      </c>
      <c r="G1943" s="93" t="s">
        <v>2730</v>
      </c>
      <c r="H1943" s="6" t="s">
        <v>2731</v>
      </c>
      <c r="I1943" s="93" t="s">
        <v>2729</v>
      </c>
      <c r="J1943" s="6" t="s">
        <v>2669</v>
      </c>
      <c r="K1943" s="6" t="s">
        <v>2647</v>
      </c>
      <c r="L1943" s="6" t="s">
        <v>595</v>
      </c>
      <c r="M1943" s="6" t="s">
        <v>918</v>
      </c>
      <c r="N1943" s="6">
        <v>1</v>
      </c>
      <c r="O1943" s="57">
        <f t="shared" si="52"/>
        <v>23394648</v>
      </c>
      <c r="P1943" s="57">
        <v>23394648</v>
      </c>
      <c r="Q1943" s="6" t="s">
        <v>519</v>
      </c>
      <c r="R1943" s="6" t="s">
        <v>770</v>
      </c>
      <c r="S1943" s="6">
        <v>751110000</v>
      </c>
      <c r="T1943" s="6">
        <v>50</v>
      </c>
    </row>
    <row r="1944" spans="1:20" s="31" customFormat="1" ht="237" customHeight="1">
      <c r="A1944" s="30"/>
      <c r="B1944" s="6">
        <v>1928</v>
      </c>
      <c r="C1944" s="6" t="s">
        <v>714</v>
      </c>
      <c r="D1944" s="52" t="s">
        <v>601</v>
      </c>
      <c r="E1944" s="12" t="s">
        <v>2648</v>
      </c>
      <c r="F1944" s="6" t="s">
        <v>2671</v>
      </c>
      <c r="G1944" s="6" t="s">
        <v>2649</v>
      </c>
      <c r="H1944" s="6" t="s">
        <v>2671</v>
      </c>
      <c r="I1944" s="6" t="s">
        <v>2649</v>
      </c>
      <c r="J1944" s="6" t="s">
        <v>2670</v>
      </c>
      <c r="K1944" s="6" t="s">
        <v>2726</v>
      </c>
      <c r="L1944" s="6" t="s">
        <v>595</v>
      </c>
      <c r="M1944" s="6" t="s">
        <v>918</v>
      </c>
      <c r="N1944" s="6">
        <v>1</v>
      </c>
      <c r="O1944" s="57">
        <f t="shared" si="52"/>
        <v>4573007</v>
      </c>
      <c r="P1944" s="57">
        <f>9146014-4573007</f>
        <v>4573007</v>
      </c>
      <c r="Q1944" s="6" t="s">
        <v>519</v>
      </c>
      <c r="R1944" s="6" t="s">
        <v>770</v>
      </c>
      <c r="S1944" s="6">
        <v>751110000</v>
      </c>
      <c r="T1944" s="6">
        <v>30</v>
      </c>
    </row>
    <row r="1945" spans="1:20" s="31" customFormat="1" ht="115.5" customHeight="1">
      <c r="A1945" s="30"/>
      <c r="B1945" s="6">
        <v>1929</v>
      </c>
      <c r="C1945" s="6" t="s">
        <v>714</v>
      </c>
      <c r="D1945" s="52" t="s">
        <v>601</v>
      </c>
      <c r="E1945" s="96" t="s">
        <v>2600</v>
      </c>
      <c r="F1945" s="97" t="s">
        <v>2626</v>
      </c>
      <c r="G1945" s="70" t="s">
        <v>2601</v>
      </c>
      <c r="H1945" s="6" t="s">
        <v>2626</v>
      </c>
      <c r="I1945" s="70" t="s">
        <v>2601</v>
      </c>
      <c r="J1945" s="6" t="s">
        <v>2628</v>
      </c>
      <c r="K1945" s="6" t="s">
        <v>2602</v>
      </c>
      <c r="L1945" s="6" t="s">
        <v>595</v>
      </c>
      <c r="M1945" s="6" t="s">
        <v>918</v>
      </c>
      <c r="N1945" s="6">
        <v>1</v>
      </c>
      <c r="O1945" s="57">
        <f t="shared" si="52"/>
        <v>3108929</v>
      </c>
      <c r="P1945" s="57">
        <v>3108929</v>
      </c>
      <c r="Q1945" s="6" t="s">
        <v>519</v>
      </c>
      <c r="R1945" s="6" t="s">
        <v>770</v>
      </c>
      <c r="S1945" s="98">
        <v>751110000</v>
      </c>
      <c r="T1945" s="6">
        <v>50</v>
      </c>
    </row>
    <row r="1946" spans="1:20" s="31" customFormat="1" ht="108.75" customHeight="1">
      <c r="A1946" s="30"/>
      <c r="B1946" s="6">
        <v>1930</v>
      </c>
      <c r="C1946" s="6" t="s">
        <v>714</v>
      </c>
      <c r="D1946" s="52" t="s">
        <v>601</v>
      </c>
      <c r="E1946" s="99" t="s">
        <v>2650</v>
      </c>
      <c r="F1946" s="6" t="s">
        <v>2653</v>
      </c>
      <c r="G1946" s="100" t="s">
        <v>2651</v>
      </c>
      <c r="H1946" s="6" t="s">
        <v>2654</v>
      </c>
      <c r="I1946" s="70" t="s">
        <v>2652</v>
      </c>
      <c r="J1946" s="6" t="s">
        <v>2629</v>
      </c>
      <c r="K1946" s="6" t="s">
        <v>2604</v>
      </c>
      <c r="L1946" s="6" t="s">
        <v>595</v>
      </c>
      <c r="M1946" s="6" t="s">
        <v>918</v>
      </c>
      <c r="N1946" s="6">
        <v>1</v>
      </c>
      <c r="O1946" s="57">
        <f t="shared" si="52"/>
        <v>3128571</v>
      </c>
      <c r="P1946" s="101">
        <v>3128571</v>
      </c>
      <c r="Q1946" s="6" t="s">
        <v>519</v>
      </c>
      <c r="R1946" s="6" t="s">
        <v>770</v>
      </c>
      <c r="S1946" s="98">
        <v>751110000</v>
      </c>
      <c r="T1946" s="6">
        <v>50</v>
      </c>
    </row>
    <row r="1947" spans="1:20" s="31" customFormat="1" ht="108.75" customHeight="1">
      <c r="A1947" s="30"/>
      <c r="B1947" s="6">
        <v>1931</v>
      </c>
      <c r="C1947" s="6" t="s">
        <v>714</v>
      </c>
      <c r="D1947" s="52" t="s">
        <v>601</v>
      </c>
      <c r="E1947" s="99" t="s">
        <v>2650</v>
      </c>
      <c r="F1947" s="6" t="s">
        <v>2653</v>
      </c>
      <c r="G1947" s="100" t="s">
        <v>2651</v>
      </c>
      <c r="H1947" s="6" t="s">
        <v>2654</v>
      </c>
      <c r="I1947" s="70" t="s">
        <v>2652</v>
      </c>
      <c r="J1947" s="6" t="s">
        <v>2629</v>
      </c>
      <c r="K1947" s="6" t="s">
        <v>2604</v>
      </c>
      <c r="L1947" s="6" t="s">
        <v>595</v>
      </c>
      <c r="M1947" s="6" t="s">
        <v>918</v>
      </c>
      <c r="N1947" s="6">
        <v>1</v>
      </c>
      <c r="O1947" s="57">
        <f t="shared" si="52"/>
        <v>1785714</v>
      </c>
      <c r="P1947" s="101">
        <v>1785714</v>
      </c>
      <c r="Q1947" s="6" t="s">
        <v>519</v>
      </c>
      <c r="R1947" s="6" t="s">
        <v>770</v>
      </c>
      <c r="S1947" s="98">
        <v>751710000</v>
      </c>
      <c r="T1947" s="6">
        <v>50</v>
      </c>
    </row>
    <row r="1948" spans="1:20" s="31" customFormat="1" ht="98.25" customHeight="1">
      <c r="A1948" s="30"/>
      <c r="B1948" s="6">
        <v>1932</v>
      </c>
      <c r="C1948" s="6" t="s">
        <v>714</v>
      </c>
      <c r="D1948" s="52" t="s">
        <v>601</v>
      </c>
      <c r="E1948" s="96" t="s">
        <v>2603</v>
      </c>
      <c r="F1948" s="97" t="s">
        <v>2656</v>
      </c>
      <c r="G1948" s="70" t="s">
        <v>2655</v>
      </c>
      <c r="H1948" s="6" t="s">
        <v>2627</v>
      </c>
      <c r="I1948" s="70" t="s">
        <v>2657</v>
      </c>
      <c r="J1948" s="6" t="s">
        <v>2659</v>
      </c>
      <c r="K1948" s="6" t="s">
        <v>2658</v>
      </c>
      <c r="L1948" s="6" t="s">
        <v>595</v>
      </c>
      <c r="M1948" s="6" t="s">
        <v>918</v>
      </c>
      <c r="N1948" s="6">
        <v>1</v>
      </c>
      <c r="O1948" s="57">
        <f t="shared" si="52"/>
        <v>3128571</v>
      </c>
      <c r="P1948" s="101">
        <v>3128571</v>
      </c>
      <c r="Q1948" s="6" t="s">
        <v>519</v>
      </c>
      <c r="R1948" s="6" t="s">
        <v>770</v>
      </c>
      <c r="S1948" s="98">
        <v>751110000</v>
      </c>
      <c r="T1948" s="6">
        <v>50</v>
      </c>
    </row>
    <row r="1949" spans="1:20" s="31" customFormat="1" ht="102" customHeight="1">
      <c r="A1949" s="30"/>
      <c r="B1949" s="6">
        <v>1933</v>
      </c>
      <c r="C1949" s="6" t="s">
        <v>714</v>
      </c>
      <c r="D1949" s="52" t="s">
        <v>601</v>
      </c>
      <c r="E1949" s="96" t="s">
        <v>2427</v>
      </c>
      <c r="F1949" s="97" t="s">
        <v>2428</v>
      </c>
      <c r="G1949" s="70" t="s">
        <v>2429</v>
      </c>
      <c r="H1949" s="6" t="s">
        <v>2430</v>
      </c>
      <c r="I1949" s="70" t="s">
        <v>2431</v>
      </c>
      <c r="J1949" s="6" t="s">
        <v>2629</v>
      </c>
      <c r="K1949" s="6" t="s">
        <v>2605</v>
      </c>
      <c r="L1949" s="6" t="s">
        <v>595</v>
      </c>
      <c r="M1949" s="6" t="s">
        <v>918</v>
      </c>
      <c r="N1949" s="6">
        <v>1</v>
      </c>
      <c r="O1949" s="57">
        <f t="shared" si="52"/>
        <v>2858929</v>
      </c>
      <c r="P1949" s="101">
        <v>2858929</v>
      </c>
      <c r="Q1949" s="6" t="s">
        <v>519</v>
      </c>
      <c r="R1949" s="6" t="s">
        <v>770</v>
      </c>
      <c r="S1949" s="98">
        <v>751110000</v>
      </c>
      <c r="T1949" s="6">
        <v>50</v>
      </c>
    </row>
    <row r="1950" spans="1:20" s="31" customFormat="1" ht="102" customHeight="1">
      <c r="A1950" s="30"/>
      <c r="B1950" s="6">
        <v>1934</v>
      </c>
      <c r="C1950" s="6" t="s">
        <v>714</v>
      </c>
      <c r="D1950" s="52" t="s">
        <v>601</v>
      </c>
      <c r="E1950" s="96" t="s">
        <v>2427</v>
      </c>
      <c r="F1950" s="97" t="s">
        <v>2428</v>
      </c>
      <c r="G1950" s="70" t="s">
        <v>2429</v>
      </c>
      <c r="H1950" s="6" t="s">
        <v>2430</v>
      </c>
      <c r="I1950" s="70" t="s">
        <v>2431</v>
      </c>
      <c r="J1950" s="6" t="s">
        <v>2630</v>
      </c>
      <c r="K1950" s="6" t="s">
        <v>2606</v>
      </c>
      <c r="L1950" s="6" t="s">
        <v>595</v>
      </c>
      <c r="M1950" s="6" t="s">
        <v>918</v>
      </c>
      <c r="N1950" s="6">
        <v>1</v>
      </c>
      <c r="O1950" s="57">
        <f t="shared" si="52"/>
        <v>1607143</v>
      </c>
      <c r="P1950" s="101">
        <v>1607143</v>
      </c>
      <c r="Q1950" s="6" t="s">
        <v>519</v>
      </c>
      <c r="R1950" s="6" t="s">
        <v>770</v>
      </c>
      <c r="S1950" s="98">
        <v>751710000</v>
      </c>
      <c r="T1950" s="6">
        <v>50</v>
      </c>
    </row>
    <row r="1951" spans="1:20" s="31" customFormat="1" ht="51">
      <c r="A1951" s="30"/>
      <c r="B1951" s="6">
        <v>1935</v>
      </c>
      <c r="C1951" s="6" t="s">
        <v>714</v>
      </c>
      <c r="D1951" s="52" t="s">
        <v>601</v>
      </c>
      <c r="E1951" s="102" t="s">
        <v>2607</v>
      </c>
      <c r="F1951" s="6" t="s">
        <v>2631</v>
      </c>
      <c r="G1951" s="103" t="s">
        <v>2608</v>
      </c>
      <c r="H1951" s="6" t="s">
        <v>2631</v>
      </c>
      <c r="I1951" s="103" t="s">
        <v>2608</v>
      </c>
      <c r="J1951" s="6" t="s">
        <v>2632</v>
      </c>
      <c r="K1951" s="6" t="s">
        <v>2609</v>
      </c>
      <c r="L1951" s="6" t="s">
        <v>595</v>
      </c>
      <c r="M1951" s="6" t="s">
        <v>918</v>
      </c>
      <c r="N1951" s="6">
        <v>1</v>
      </c>
      <c r="O1951" s="57">
        <f t="shared" si="52"/>
        <v>1300000</v>
      </c>
      <c r="P1951" s="57">
        <v>1300000</v>
      </c>
      <c r="Q1951" s="6" t="s">
        <v>519</v>
      </c>
      <c r="R1951" s="6" t="s">
        <v>770</v>
      </c>
      <c r="S1951" s="98">
        <v>751710000</v>
      </c>
      <c r="T1951" s="6">
        <v>50</v>
      </c>
    </row>
    <row r="1952" spans="1:20" s="31" customFormat="1" ht="51">
      <c r="A1952" s="30"/>
      <c r="B1952" s="6">
        <v>1936</v>
      </c>
      <c r="C1952" s="6" t="s">
        <v>714</v>
      </c>
      <c r="D1952" s="52" t="s">
        <v>601</v>
      </c>
      <c r="E1952" s="102" t="s">
        <v>2607</v>
      </c>
      <c r="F1952" s="6" t="s">
        <v>2631</v>
      </c>
      <c r="G1952" s="103" t="s">
        <v>2608</v>
      </c>
      <c r="H1952" s="6" t="s">
        <v>2631</v>
      </c>
      <c r="I1952" s="103" t="s">
        <v>2608</v>
      </c>
      <c r="J1952" s="6" t="s">
        <v>2632</v>
      </c>
      <c r="K1952" s="6" t="s">
        <v>2609</v>
      </c>
      <c r="L1952" s="6" t="s">
        <v>595</v>
      </c>
      <c r="M1952" s="6" t="s">
        <v>918</v>
      </c>
      <c r="N1952" s="6">
        <v>1</v>
      </c>
      <c r="O1952" s="57">
        <f t="shared" si="52"/>
        <v>1157143</v>
      </c>
      <c r="P1952" s="57">
        <v>1157143</v>
      </c>
      <c r="Q1952" s="6" t="s">
        <v>519</v>
      </c>
      <c r="R1952" s="6" t="s">
        <v>770</v>
      </c>
      <c r="S1952" s="104" t="s">
        <v>2610</v>
      </c>
      <c r="T1952" s="6">
        <v>50</v>
      </c>
    </row>
    <row r="1953" spans="1:20" s="31" customFormat="1" ht="51">
      <c r="A1953" s="30"/>
      <c r="B1953" s="6">
        <v>1937</v>
      </c>
      <c r="C1953" s="6" t="s">
        <v>714</v>
      </c>
      <c r="D1953" s="52" t="s">
        <v>601</v>
      </c>
      <c r="E1953" s="102" t="s">
        <v>2607</v>
      </c>
      <c r="F1953" s="6" t="s">
        <v>2631</v>
      </c>
      <c r="G1953" s="103" t="s">
        <v>2608</v>
      </c>
      <c r="H1953" s="6" t="s">
        <v>2631</v>
      </c>
      <c r="I1953" s="103" t="s">
        <v>2608</v>
      </c>
      <c r="J1953" s="6" t="s">
        <v>2632</v>
      </c>
      <c r="K1953" s="6" t="s">
        <v>2609</v>
      </c>
      <c r="L1953" s="6" t="s">
        <v>595</v>
      </c>
      <c r="M1953" s="6" t="s">
        <v>918</v>
      </c>
      <c r="N1953" s="6">
        <v>1</v>
      </c>
      <c r="O1953" s="57">
        <f t="shared" si="52"/>
        <v>1157143</v>
      </c>
      <c r="P1953" s="57">
        <v>1157143</v>
      </c>
      <c r="Q1953" s="6" t="s">
        <v>519</v>
      </c>
      <c r="R1953" s="6" t="s">
        <v>770</v>
      </c>
      <c r="S1953" s="98">
        <v>391000000</v>
      </c>
      <c r="T1953" s="6">
        <v>50</v>
      </c>
    </row>
    <row r="1954" spans="1:20" s="31" customFormat="1" ht="51">
      <c r="A1954" s="30"/>
      <c r="B1954" s="6">
        <v>1938</v>
      </c>
      <c r="C1954" s="6" t="s">
        <v>714</v>
      </c>
      <c r="D1954" s="52" t="s">
        <v>601</v>
      </c>
      <c r="E1954" s="102" t="s">
        <v>2607</v>
      </c>
      <c r="F1954" s="6" t="s">
        <v>2631</v>
      </c>
      <c r="G1954" s="103" t="s">
        <v>2608</v>
      </c>
      <c r="H1954" s="6" t="s">
        <v>2631</v>
      </c>
      <c r="I1954" s="103" t="s">
        <v>2608</v>
      </c>
      <c r="J1954" s="6" t="s">
        <v>2632</v>
      </c>
      <c r="K1954" s="6" t="s">
        <v>2609</v>
      </c>
      <c r="L1954" s="6" t="s">
        <v>595</v>
      </c>
      <c r="M1954" s="6" t="s">
        <v>918</v>
      </c>
      <c r="N1954" s="6">
        <v>1</v>
      </c>
      <c r="O1954" s="57">
        <f t="shared" si="52"/>
        <v>1157143</v>
      </c>
      <c r="P1954" s="57">
        <v>1157143</v>
      </c>
      <c r="Q1954" s="6" t="s">
        <v>519</v>
      </c>
      <c r="R1954" s="6" t="s">
        <v>770</v>
      </c>
      <c r="S1954" s="104" t="s">
        <v>2032</v>
      </c>
      <c r="T1954" s="6">
        <v>50</v>
      </c>
    </row>
    <row r="1955" spans="1:20" s="31" customFormat="1" ht="51">
      <c r="A1955" s="30"/>
      <c r="B1955" s="6">
        <v>1939</v>
      </c>
      <c r="C1955" s="6" t="s">
        <v>714</v>
      </c>
      <c r="D1955" s="52" t="s">
        <v>601</v>
      </c>
      <c r="E1955" s="102" t="s">
        <v>2607</v>
      </c>
      <c r="F1955" s="6" t="s">
        <v>2631</v>
      </c>
      <c r="G1955" s="103" t="s">
        <v>2608</v>
      </c>
      <c r="H1955" s="6" t="s">
        <v>2631</v>
      </c>
      <c r="I1955" s="103" t="s">
        <v>2608</v>
      </c>
      <c r="J1955" s="6" t="s">
        <v>2632</v>
      </c>
      <c r="K1955" s="6" t="s">
        <v>2609</v>
      </c>
      <c r="L1955" s="6" t="s">
        <v>595</v>
      </c>
      <c r="M1955" s="6" t="s">
        <v>918</v>
      </c>
      <c r="N1955" s="6">
        <v>1</v>
      </c>
      <c r="O1955" s="57">
        <f t="shared" si="52"/>
        <v>1157143</v>
      </c>
      <c r="P1955" s="57">
        <v>1157143</v>
      </c>
      <c r="Q1955" s="6" t="s">
        <v>519</v>
      </c>
      <c r="R1955" s="6" t="s">
        <v>770</v>
      </c>
      <c r="S1955" s="104" t="s">
        <v>906</v>
      </c>
      <c r="T1955" s="6">
        <v>50</v>
      </c>
    </row>
    <row r="1956" spans="1:20" s="31" customFormat="1" ht="51">
      <c r="A1956" s="30"/>
      <c r="B1956" s="6">
        <v>1940</v>
      </c>
      <c r="C1956" s="6" t="s">
        <v>714</v>
      </c>
      <c r="D1956" s="52" t="s">
        <v>601</v>
      </c>
      <c r="E1956" s="102" t="s">
        <v>2607</v>
      </c>
      <c r="F1956" s="6" t="s">
        <v>2631</v>
      </c>
      <c r="G1956" s="103" t="s">
        <v>2608</v>
      </c>
      <c r="H1956" s="6" t="s">
        <v>2631</v>
      </c>
      <c r="I1956" s="103" t="s">
        <v>2608</v>
      </c>
      <c r="J1956" s="6" t="s">
        <v>2632</v>
      </c>
      <c r="K1956" s="6" t="s">
        <v>2609</v>
      </c>
      <c r="L1956" s="6" t="s">
        <v>595</v>
      </c>
      <c r="M1956" s="6" t="s">
        <v>918</v>
      </c>
      <c r="N1956" s="6">
        <v>1</v>
      </c>
      <c r="O1956" s="57">
        <f t="shared" si="52"/>
        <v>1157143</v>
      </c>
      <c r="P1956" s="57">
        <v>1157143</v>
      </c>
      <c r="Q1956" s="6" t="s">
        <v>519</v>
      </c>
      <c r="R1956" s="6" t="s">
        <v>770</v>
      </c>
      <c r="S1956" s="98">
        <v>111000000</v>
      </c>
      <c r="T1956" s="6">
        <v>50</v>
      </c>
    </row>
    <row r="1957" spans="1:20" s="31" customFormat="1" ht="51">
      <c r="A1957" s="30"/>
      <c r="B1957" s="6">
        <v>1941</v>
      </c>
      <c r="C1957" s="6" t="s">
        <v>714</v>
      </c>
      <c r="D1957" s="52" t="s">
        <v>601</v>
      </c>
      <c r="E1957" s="102" t="s">
        <v>2607</v>
      </c>
      <c r="F1957" s="6" t="s">
        <v>2631</v>
      </c>
      <c r="G1957" s="103" t="s">
        <v>2608</v>
      </c>
      <c r="H1957" s="6" t="s">
        <v>2631</v>
      </c>
      <c r="I1957" s="103" t="s">
        <v>2608</v>
      </c>
      <c r="J1957" s="6" t="s">
        <v>2632</v>
      </c>
      <c r="K1957" s="6" t="s">
        <v>2609</v>
      </c>
      <c r="L1957" s="6" t="s">
        <v>595</v>
      </c>
      <c r="M1957" s="6" t="s">
        <v>918</v>
      </c>
      <c r="N1957" s="6">
        <v>1</v>
      </c>
      <c r="O1957" s="57">
        <f t="shared" si="52"/>
        <v>1157143</v>
      </c>
      <c r="P1957" s="57">
        <v>1157143</v>
      </c>
      <c r="Q1957" s="6" t="s">
        <v>519</v>
      </c>
      <c r="R1957" s="6" t="s">
        <v>770</v>
      </c>
      <c r="S1957" s="98">
        <v>591000000</v>
      </c>
      <c r="T1957" s="6">
        <v>50</v>
      </c>
    </row>
    <row r="1958" spans="1:20" s="31" customFormat="1" ht="51">
      <c r="A1958" s="30"/>
      <c r="B1958" s="6">
        <v>1942</v>
      </c>
      <c r="C1958" s="6" t="s">
        <v>714</v>
      </c>
      <c r="D1958" s="52" t="s">
        <v>601</v>
      </c>
      <c r="E1958" s="102" t="s">
        <v>2607</v>
      </c>
      <c r="F1958" s="6" t="s">
        <v>2631</v>
      </c>
      <c r="G1958" s="103" t="s">
        <v>2608</v>
      </c>
      <c r="H1958" s="6" t="s">
        <v>2631</v>
      </c>
      <c r="I1958" s="103" t="s">
        <v>2608</v>
      </c>
      <c r="J1958" s="6" t="s">
        <v>2632</v>
      </c>
      <c r="K1958" s="6" t="s">
        <v>2609</v>
      </c>
      <c r="L1958" s="70" t="s">
        <v>595</v>
      </c>
      <c r="M1958" s="6" t="s">
        <v>918</v>
      </c>
      <c r="N1958" s="6">
        <v>1</v>
      </c>
      <c r="O1958" s="57">
        <f t="shared" si="52"/>
        <v>1157143</v>
      </c>
      <c r="P1958" s="57">
        <v>1157143</v>
      </c>
      <c r="Q1958" s="6" t="s">
        <v>519</v>
      </c>
      <c r="R1958" s="6" t="s">
        <v>770</v>
      </c>
      <c r="S1958" s="104" t="s">
        <v>2527</v>
      </c>
      <c r="T1958" s="6">
        <v>50</v>
      </c>
    </row>
    <row r="1959" spans="1:20" s="31" customFormat="1" ht="51">
      <c r="A1959" s="30"/>
      <c r="B1959" s="6">
        <v>1943</v>
      </c>
      <c r="C1959" s="6" t="s">
        <v>714</v>
      </c>
      <c r="D1959" s="52" t="s">
        <v>601</v>
      </c>
      <c r="E1959" s="102" t="s">
        <v>2607</v>
      </c>
      <c r="F1959" s="6" t="s">
        <v>2631</v>
      </c>
      <c r="G1959" s="103" t="s">
        <v>2608</v>
      </c>
      <c r="H1959" s="6" t="s">
        <v>2631</v>
      </c>
      <c r="I1959" s="103" t="s">
        <v>2608</v>
      </c>
      <c r="J1959" s="6" t="s">
        <v>2632</v>
      </c>
      <c r="K1959" s="6" t="s">
        <v>2609</v>
      </c>
      <c r="L1959" s="70" t="s">
        <v>595</v>
      </c>
      <c r="M1959" s="6" t="s">
        <v>918</v>
      </c>
      <c r="N1959" s="6">
        <v>1</v>
      </c>
      <c r="O1959" s="57">
        <f t="shared" si="52"/>
        <v>1157143</v>
      </c>
      <c r="P1959" s="57">
        <v>1157143</v>
      </c>
      <c r="Q1959" s="6" t="s">
        <v>519</v>
      </c>
      <c r="R1959" s="6" t="s">
        <v>770</v>
      </c>
      <c r="S1959" s="104">
        <v>231000000</v>
      </c>
      <c r="T1959" s="6">
        <v>50</v>
      </c>
    </row>
    <row r="1960" spans="1:20" s="31" customFormat="1" ht="51">
      <c r="A1960" s="30"/>
      <c r="B1960" s="6">
        <v>1944</v>
      </c>
      <c r="C1960" s="6" t="s">
        <v>714</v>
      </c>
      <c r="D1960" s="52" t="s">
        <v>601</v>
      </c>
      <c r="E1960" s="102" t="s">
        <v>2607</v>
      </c>
      <c r="F1960" s="6" t="s">
        <v>2631</v>
      </c>
      <c r="G1960" s="103" t="s">
        <v>2608</v>
      </c>
      <c r="H1960" s="6" t="s">
        <v>2631</v>
      </c>
      <c r="I1960" s="103" t="s">
        <v>2608</v>
      </c>
      <c r="J1960" s="6" t="s">
        <v>2632</v>
      </c>
      <c r="K1960" s="6" t="s">
        <v>2609</v>
      </c>
      <c r="L1960" s="70" t="s">
        <v>595</v>
      </c>
      <c r="M1960" s="6" t="s">
        <v>918</v>
      </c>
      <c r="N1960" s="6">
        <v>1</v>
      </c>
      <c r="O1960" s="57">
        <f t="shared" si="52"/>
        <v>1157143</v>
      </c>
      <c r="P1960" s="57">
        <v>1157143</v>
      </c>
      <c r="Q1960" s="6" t="s">
        <v>519</v>
      </c>
      <c r="R1960" s="6" t="s">
        <v>770</v>
      </c>
      <c r="S1960" s="104" t="s">
        <v>2037</v>
      </c>
      <c r="T1960" s="6">
        <v>50</v>
      </c>
    </row>
    <row r="1961" spans="1:20" s="31" customFormat="1" ht="51">
      <c r="A1961" s="30"/>
      <c r="B1961" s="6">
        <v>1945</v>
      </c>
      <c r="C1961" s="6" t="s">
        <v>714</v>
      </c>
      <c r="D1961" s="52" t="s">
        <v>601</v>
      </c>
      <c r="E1961" s="102" t="s">
        <v>2607</v>
      </c>
      <c r="F1961" s="6" t="s">
        <v>2631</v>
      </c>
      <c r="G1961" s="103" t="s">
        <v>2608</v>
      </c>
      <c r="H1961" s="6" t="s">
        <v>2631</v>
      </c>
      <c r="I1961" s="103" t="s">
        <v>2608</v>
      </c>
      <c r="J1961" s="6" t="s">
        <v>2632</v>
      </c>
      <c r="K1961" s="6" t="s">
        <v>2609</v>
      </c>
      <c r="L1961" s="70" t="s">
        <v>595</v>
      </c>
      <c r="M1961" s="6" t="s">
        <v>918</v>
      </c>
      <c r="N1961" s="6">
        <v>1</v>
      </c>
      <c r="O1961" s="57">
        <f t="shared" si="52"/>
        <v>1157143</v>
      </c>
      <c r="P1961" s="57">
        <v>1157143</v>
      </c>
      <c r="Q1961" s="6" t="s">
        <v>519</v>
      </c>
      <c r="R1961" s="6" t="s">
        <v>770</v>
      </c>
      <c r="S1961" s="104" t="s">
        <v>2519</v>
      </c>
      <c r="T1961" s="6">
        <v>50</v>
      </c>
    </row>
    <row r="1962" spans="1:20" s="31" customFormat="1" ht="51">
      <c r="A1962" s="30"/>
      <c r="B1962" s="6">
        <v>1946</v>
      </c>
      <c r="C1962" s="6" t="s">
        <v>714</v>
      </c>
      <c r="D1962" s="52" t="s">
        <v>601</v>
      </c>
      <c r="E1962" s="102" t="s">
        <v>2607</v>
      </c>
      <c r="F1962" s="6" t="s">
        <v>2631</v>
      </c>
      <c r="G1962" s="103" t="s">
        <v>2608</v>
      </c>
      <c r="H1962" s="6" t="s">
        <v>2631</v>
      </c>
      <c r="I1962" s="103" t="s">
        <v>2608</v>
      </c>
      <c r="J1962" s="6" t="s">
        <v>2632</v>
      </c>
      <c r="K1962" s="6" t="s">
        <v>2609</v>
      </c>
      <c r="L1962" s="70" t="s">
        <v>595</v>
      </c>
      <c r="M1962" s="6" t="s">
        <v>918</v>
      </c>
      <c r="N1962" s="6">
        <v>1</v>
      </c>
      <c r="O1962" s="57">
        <f t="shared" si="52"/>
        <v>2314286</v>
      </c>
      <c r="P1962" s="57">
        <v>2314286</v>
      </c>
      <c r="Q1962" s="6" t="s">
        <v>519</v>
      </c>
      <c r="R1962" s="6" t="s">
        <v>770</v>
      </c>
      <c r="S1962" s="98">
        <v>631000000</v>
      </c>
      <c r="T1962" s="6">
        <v>50</v>
      </c>
    </row>
    <row r="1963" spans="1:20" s="31" customFormat="1" ht="51">
      <c r="A1963" s="30"/>
      <c r="B1963" s="6">
        <v>1947</v>
      </c>
      <c r="C1963" s="6" t="s">
        <v>714</v>
      </c>
      <c r="D1963" s="52" t="s">
        <v>601</v>
      </c>
      <c r="E1963" s="102" t="s">
        <v>2607</v>
      </c>
      <c r="F1963" s="6" t="s">
        <v>2631</v>
      </c>
      <c r="G1963" s="103" t="s">
        <v>2608</v>
      </c>
      <c r="H1963" s="6" t="s">
        <v>2631</v>
      </c>
      <c r="I1963" s="103" t="s">
        <v>2608</v>
      </c>
      <c r="J1963" s="6" t="s">
        <v>2632</v>
      </c>
      <c r="K1963" s="6" t="s">
        <v>2609</v>
      </c>
      <c r="L1963" s="70" t="s">
        <v>595</v>
      </c>
      <c r="M1963" s="6" t="s">
        <v>918</v>
      </c>
      <c r="N1963" s="6">
        <v>1</v>
      </c>
      <c r="O1963" s="57">
        <f t="shared" si="52"/>
        <v>1157143</v>
      </c>
      <c r="P1963" s="57">
        <v>1157143</v>
      </c>
      <c r="Q1963" s="6" t="s">
        <v>519</v>
      </c>
      <c r="R1963" s="6" t="s">
        <v>770</v>
      </c>
      <c r="S1963" s="104" t="s">
        <v>719</v>
      </c>
      <c r="T1963" s="6">
        <v>50</v>
      </c>
    </row>
    <row r="1964" spans="1:20" s="31" customFormat="1" ht="63.75">
      <c r="A1964" s="30"/>
      <c r="B1964" s="6">
        <v>1948</v>
      </c>
      <c r="C1964" s="6" t="s">
        <v>714</v>
      </c>
      <c r="D1964" s="52" t="s">
        <v>601</v>
      </c>
      <c r="E1964" s="96" t="s">
        <v>2611</v>
      </c>
      <c r="F1964" s="70" t="s">
        <v>2633</v>
      </c>
      <c r="G1964" s="70" t="s">
        <v>2634</v>
      </c>
      <c r="H1964" s="70" t="s">
        <v>2635</v>
      </c>
      <c r="I1964" s="70" t="s">
        <v>2636</v>
      </c>
      <c r="J1964" s="6" t="s">
        <v>2637</v>
      </c>
      <c r="K1964" s="6" t="s">
        <v>2612</v>
      </c>
      <c r="L1964" s="70" t="s">
        <v>595</v>
      </c>
      <c r="M1964" s="6" t="s">
        <v>918</v>
      </c>
      <c r="N1964" s="6">
        <v>1</v>
      </c>
      <c r="O1964" s="57">
        <f t="shared" si="52"/>
        <v>892857</v>
      </c>
      <c r="P1964" s="57">
        <v>892857</v>
      </c>
      <c r="Q1964" s="6" t="s">
        <v>505</v>
      </c>
      <c r="R1964" s="6" t="s">
        <v>770</v>
      </c>
      <c r="S1964" s="98">
        <v>751110000</v>
      </c>
      <c r="T1964" s="6">
        <v>50</v>
      </c>
    </row>
    <row r="1965" spans="1:20" s="31" customFormat="1" ht="63.75">
      <c r="A1965" s="30"/>
      <c r="B1965" s="6">
        <v>1949</v>
      </c>
      <c r="C1965" s="6" t="s">
        <v>714</v>
      </c>
      <c r="D1965" s="52" t="s">
        <v>601</v>
      </c>
      <c r="E1965" s="96" t="s">
        <v>1942</v>
      </c>
      <c r="F1965" s="6" t="s">
        <v>512</v>
      </c>
      <c r="G1965" s="70" t="s">
        <v>513</v>
      </c>
      <c r="H1965" s="6" t="s">
        <v>1943</v>
      </c>
      <c r="I1965" s="70" t="s">
        <v>1045</v>
      </c>
      <c r="J1965" s="6" t="s">
        <v>2638</v>
      </c>
      <c r="K1965" s="6" t="s">
        <v>2613</v>
      </c>
      <c r="L1965" s="70" t="s">
        <v>595</v>
      </c>
      <c r="M1965" s="6" t="s">
        <v>918</v>
      </c>
      <c r="N1965" s="6">
        <v>1</v>
      </c>
      <c r="O1965" s="57">
        <f t="shared" si="52"/>
        <v>2901786</v>
      </c>
      <c r="P1965" s="57">
        <v>2901786</v>
      </c>
      <c r="Q1965" s="6" t="s">
        <v>519</v>
      </c>
      <c r="R1965" s="6" t="s">
        <v>770</v>
      </c>
      <c r="S1965" s="98">
        <v>751110000</v>
      </c>
      <c r="T1965" s="6">
        <v>50</v>
      </c>
    </row>
    <row r="1966" spans="1:20" s="31" customFormat="1" ht="63.75">
      <c r="A1966" s="30"/>
      <c r="B1966" s="6">
        <v>1950</v>
      </c>
      <c r="C1966" s="6" t="s">
        <v>714</v>
      </c>
      <c r="D1966" s="52" t="s">
        <v>601</v>
      </c>
      <c r="E1966" s="96" t="s">
        <v>1942</v>
      </c>
      <c r="F1966" s="6" t="s">
        <v>512</v>
      </c>
      <c r="G1966" s="70" t="s">
        <v>513</v>
      </c>
      <c r="H1966" s="6" t="s">
        <v>1943</v>
      </c>
      <c r="I1966" s="70" t="s">
        <v>1045</v>
      </c>
      <c r="J1966" s="6" t="s">
        <v>2638</v>
      </c>
      <c r="K1966" s="6" t="s">
        <v>2613</v>
      </c>
      <c r="L1966" s="70" t="s">
        <v>595</v>
      </c>
      <c r="M1966" s="6" t="s">
        <v>918</v>
      </c>
      <c r="N1966" s="6">
        <v>1</v>
      </c>
      <c r="O1966" s="57">
        <f t="shared" si="52"/>
        <v>2732143</v>
      </c>
      <c r="P1966" s="57">
        <v>2732143</v>
      </c>
      <c r="Q1966" s="6" t="s">
        <v>519</v>
      </c>
      <c r="R1966" s="6" t="s">
        <v>770</v>
      </c>
      <c r="S1966" s="98">
        <v>751710000</v>
      </c>
      <c r="T1966" s="6">
        <v>50</v>
      </c>
    </row>
    <row r="1967" spans="1:20" s="31" customFormat="1" ht="76.5">
      <c r="A1967" s="30"/>
      <c r="B1967" s="6">
        <v>1951</v>
      </c>
      <c r="C1967" s="6" t="s">
        <v>714</v>
      </c>
      <c r="D1967" s="52" t="s">
        <v>601</v>
      </c>
      <c r="E1967" s="96" t="s">
        <v>2614</v>
      </c>
      <c r="F1967" s="70" t="s">
        <v>2672</v>
      </c>
      <c r="G1967" s="70" t="s">
        <v>2615</v>
      </c>
      <c r="H1967" s="6" t="s">
        <v>2673</v>
      </c>
      <c r="I1967" s="70" t="s">
        <v>2616</v>
      </c>
      <c r="J1967" s="6" t="s">
        <v>2674</v>
      </c>
      <c r="K1967" s="6" t="s">
        <v>2617</v>
      </c>
      <c r="L1967" s="70" t="s">
        <v>595</v>
      </c>
      <c r="M1967" s="6" t="s">
        <v>918</v>
      </c>
      <c r="N1967" s="6">
        <v>1</v>
      </c>
      <c r="O1967" s="57">
        <f t="shared" si="52"/>
        <v>3214285</v>
      </c>
      <c r="P1967" s="57">
        <v>3214285</v>
      </c>
      <c r="Q1967" s="6" t="s">
        <v>519</v>
      </c>
      <c r="R1967" s="6" t="s">
        <v>770</v>
      </c>
      <c r="S1967" s="98">
        <v>751110000</v>
      </c>
      <c r="T1967" s="6">
        <v>50</v>
      </c>
    </row>
    <row r="1968" spans="1:20" s="31" customFormat="1" ht="57.75" customHeight="1">
      <c r="A1968" s="30"/>
      <c r="B1968" s="6">
        <v>1952</v>
      </c>
      <c r="C1968" s="6" t="s">
        <v>714</v>
      </c>
      <c r="D1968" s="52" t="s">
        <v>601</v>
      </c>
      <c r="E1968" s="96" t="s">
        <v>2618</v>
      </c>
      <c r="F1968" s="6" t="s">
        <v>2675</v>
      </c>
      <c r="G1968" s="70" t="s">
        <v>2619</v>
      </c>
      <c r="H1968" s="6" t="s">
        <v>2676</v>
      </c>
      <c r="I1968" s="70" t="s">
        <v>2620</v>
      </c>
      <c r="J1968" s="6" t="s">
        <v>2677</v>
      </c>
      <c r="K1968" s="6" t="s">
        <v>2621</v>
      </c>
      <c r="L1968" s="70" t="s">
        <v>595</v>
      </c>
      <c r="M1968" s="6" t="s">
        <v>918</v>
      </c>
      <c r="N1968" s="6">
        <v>1</v>
      </c>
      <c r="O1968" s="57">
        <f t="shared" si="52"/>
        <v>2812500</v>
      </c>
      <c r="P1968" s="57">
        <v>2812500</v>
      </c>
      <c r="Q1968" s="6" t="s">
        <v>519</v>
      </c>
      <c r="R1968" s="6" t="s">
        <v>770</v>
      </c>
      <c r="S1968" s="98">
        <v>751710000</v>
      </c>
      <c r="T1968" s="6">
        <v>50</v>
      </c>
    </row>
    <row r="1969" spans="1:20" s="31" customFormat="1" ht="57.75" customHeight="1">
      <c r="A1969" s="30"/>
      <c r="B1969" s="6">
        <v>1953</v>
      </c>
      <c r="C1969" s="6" t="s">
        <v>714</v>
      </c>
      <c r="D1969" s="52" t="s">
        <v>601</v>
      </c>
      <c r="E1969" s="96" t="s">
        <v>2618</v>
      </c>
      <c r="F1969" s="6" t="s">
        <v>2675</v>
      </c>
      <c r="G1969" s="70" t="s">
        <v>2619</v>
      </c>
      <c r="H1969" s="6" t="s">
        <v>2676</v>
      </c>
      <c r="I1969" s="70" t="s">
        <v>2620</v>
      </c>
      <c r="J1969" s="6" t="s">
        <v>2677</v>
      </c>
      <c r="K1969" s="6" t="s">
        <v>2621</v>
      </c>
      <c r="L1969" s="70" t="s">
        <v>595</v>
      </c>
      <c r="M1969" s="6" t="s">
        <v>918</v>
      </c>
      <c r="N1969" s="6">
        <v>1</v>
      </c>
      <c r="O1969" s="57">
        <f t="shared" si="52"/>
        <v>2812500</v>
      </c>
      <c r="P1969" s="57">
        <v>2812500</v>
      </c>
      <c r="Q1969" s="6" t="s">
        <v>519</v>
      </c>
      <c r="R1969" s="6" t="s">
        <v>770</v>
      </c>
      <c r="S1969" s="98">
        <v>710000000</v>
      </c>
      <c r="T1969" s="6">
        <v>50</v>
      </c>
    </row>
    <row r="1970" spans="1:20" s="31" customFormat="1" ht="57.75" customHeight="1">
      <c r="A1970" s="30"/>
      <c r="B1970" s="6">
        <v>1954</v>
      </c>
      <c r="C1970" s="6" t="s">
        <v>714</v>
      </c>
      <c r="D1970" s="52" t="s">
        <v>601</v>
      </c>
      <c r="E1970" s="96" t="s">
        <v>2618</v>
      </c>
      <c r="F1970" s="6" t="s">
        <v>2675</v>
      </c>
      <c r="G1970" s="70" t="s">
        <v>2619</v>
      </c>
      <c r="H1970" s="6" t="s">
        <v>2676</v>
      </c>
      <c r="I1970" s="70" t="s">
        <v>2620</v>
      </c>
      <c r="J1970" s="6" t="s">
        <v>2677</v>
      </c>
      <c r="K1970" s="6" t="s">
        <v>2621</v>
      </c>
      <c r="L1970" s="70" t="s">
        <v>595</v>
      </c>
      <c r="M1970" s="6" t="s">
        <v>918</v>
      </c>
      <c r="N1970" s="6">
        <v>1</v>
      </c>
      <c r="O1970" s="57">
        <f t="shared" si="52"/>
        <v>2812500</v>
      </c>
      <c r="P1970" s="57">
        <v>2812500</v>
      </c>
      <c r="Q1970" s="6" t="s">
        <v>519</v>
      </c>
      <c r="R1970" s="6" t="s">
        <v>770</v>
      </c>
      <c r="S1970" s="98">
        <v>111000000</v>
      </c>
      <c r="T1970" s="6">
        <v>50</v>
      </c>
    </row>
    <row r="1971" spans="1:20" s="31" customFormat="1" ht="57.75" customHeight="1">
      <c r="A1971" s="30"/>
      <c r="B1971" s="6">
        <v>1955</v>
      </c>
      <c r="C1971" s="6" t="s">
        <v>714</v>
      </c>
      <c r="D1971" s="52" t="s">
        <v>601</v>
      </c>
      <c r="E1971" s="96" t="s">
        <v>2618</v>
      </c>
      <c r="F1971" s="6" t="s">
        <v>2675</v>
      </c>
      <c r="G1971" s="70" t="s">
        <v>2619</v>
      </c>
      <c r="H1971" s="6" t="s">
        <v>2676</v>
      </c>
      <c r="I1971" s="70" t="s">
        <v>2620</v>
      </c>
      <c r="J1971" s="6" t="s">
        <v>2677</v>
      </c>
      <c r="K1971" s="6" t="s">
        <v>2621</v>
      </c>
      <c r="L1971" s="70" t="s">
        <v>595</v>
      </c>
      <c r="M1971" s="6" t="s">
        <v>918</v>
      </c>
      <c r="N1971" s="6">
        <v>1</v>
      </c>
      <c r="O1971" s="57">
        <f t="shared" si="52"/>
        <v>2812500</v>
      </c>
      <c r="P1971" s="57">
        <v>2812500</v>
      </c>
      <c r="Q1971" s="6" t="s">
        <v>519</v>
      </c>
      <c r="R1971" s="6" t="s">
        <v>770</v>
      </c>
      <c r="S1971" s="104" t="s">
        <v>1025</v>
      </c>
      <c r="T1971" s="6">
        <v>50</v>
      </c>
    </row>
    <row r="1972" spans="1:20" s="31" customFormat="1" ht="57.75" customHeight="1">
      <c r="A1972" s="30"/>
      <c r="B1972" s="6">
        <v>1956</v>
      </c>
      <c r="C1972" s="6" t="s">
        <v>714</v>
      </c>
      <c r="D1972" s="52" t="s">
        <v>601</v>
      </c>
      <c r="E1972" s="96" t="s">
        <v>2618</v>
      </c>
      <c r="F1972" s="6" t="s">
        <v>2675</v>
      </c>
      <c r="G1972" s="70" t="s">
        <v>2619</v>
      </c>
      <c r="H1972" s="6" t="s">
        <v>2676</v>
      </c>
      <c r="I1972" s="70" t="s">
        <v>2620</v>
      </c>
      <c r="J1972" s="6" t="s">
        <v>2677</v>
      </c>
      <c r="K1972" s="6" t="s">
        <v>2621</v>
      </c>
      <c r="L1972" s="70" t="s">
        <v>595</v>
      </c>
      <c r="M1972" s="6" t="s">
        <v>918</v>
      </c>
      <c r="N1972" s="6">
        <v>1</v>
      </c>
      <c r="O1972" s="57">
        <f t="shared" si="52"/>
        <v>2812500</v>
      </c>
      <c r="P1972" s="57">
        <v>2812500</v>
      </c>
      <c r="Q1972" s="6" t="s">
        <v>519</v>
      </c>
      <c r="R1972" s="6" t="s">
        <v>770</v>
      </c>
      <c r="S1972" s="104" t="s">
        <v>793</v>
      </c>
      <c r="T1972" s="6">
        <v>50</v>
      </c>
    </row>
    <row r="1973" spans="1:20" s="31" customFormat="1" ht="57.75" customHeight="1">
      <c r="A1973" s="30"/>
      <c r="B1973" s="6">
        <v>1957</v>
      </c>
      <c r="C1973" s="6" t="s">
        <v>714</v>
      </c>
      <c r="D1973" s="52" t="s">
        <v>601</v>
      </c>
      <c r="E1973" s="96" t="s">
        <v>2618</v>
      </c>
      <c r="F1973" s="6" t="s">
        <v>2675</v>
      </c>
      <c r="G1973" s="70" t="s">
        <v>2619</v>
      </c>
      <c r="H1973" s="6" t="s">
        <v>2676</v>
      </c>
      <c r="I1973" s="70" t="s">
        <v>2620</v>
      </c>
      <c r="J1973" s="6" t="s">
        <v>2677</v>
      </c>
      <c r="K1973" s="6" t="s">
        <v>2621</v>
      </c>
      <c r="L1973" s="70" t="s">
        <v>595</v>
      </c>
      <c r="M1973" s="6" t="s">
        <v>918</v>
      </c>
      <c r="N1973" s="6">
        <v>1</v>
      </c>
      <c r="O1973" s="57">
        <f t="shared" si="52"/>
        <v>2625000</v>
      </c>
      <c r="P1973" s="57">
        <v>2625000</v>
      </c>
      <c r="Q1973" s="6" t="s">
        <v>519</v>
      </c>
      <c r="R1973" s="6" t="s">
        <v>770</v>
      </c>
      <c r="S1973" s="104">
        <v>231000000</v>
      </c>
      <c r="T1973" s="6">
        <v>50</v>
      </c>
    </row>
    <row r="1974" spans="1:20" s="31" customFormat="1" ht="57.75" customHeight="1">
      <c r="A1974" s="30"/>
      <c r="B1974" s="6">
        <v>1958</v>
      </c>
      <c r="C1974" s="6" t="s">
        <v>714</v>
      </c>
      <c r="D1974" s="52" t="s">
        <v>601</v>
      </c>
      <c r="E1974" s="96" t="s">
        <v>2618</v>
      </c>
      <c r="F1974" s="6" t="s">
        <v>2675</v>
      </c>
      <c r="G1974" s="70" t="s">
        <v>2619</v>
      </c>
      <c r="H1974" s="6" t="s">
        <v>2676</v>
      </c>
      <c r="I1974" s="70" t="s">
        <v>2620</v>
      </c>
      <c r="J1974" s="6" t="s">
        <v>2677</v>
      </c>
      <c r="K1974" s="6" t="s">
        <v>2621</v>
      </c>
      <c r="L1974" s="70" t="s">
        <v>595</v>
      </c>
      <c r="M1974" s="6" t="s">
        <v>918</v>
      </c>
      <c r="N1974" s="6">
        <v>1</v>
      </c>
      <c r="O1974" s="57">
        <f t="shared" si="52"/>
        <v>2687500</v>
      </c>
      <c r="P1974" s="57">
        <v>2687500</v>
      </c>
      <c r="Q1974" s="6" t="s">
        <v>519</v>
      </c>
      <c r="R1974" s="6" t="s">
        <v>770</v>
      </c>
      <c r="S1974" s="98">
        <v>631000000</v>
      </c>
      <c r="T1974" s="6">
        <v>50</v>
      </c>
    </row>
    <row r="1975" spans="1:20" s="31" customFormat="1" ht="57.75" customHeight="1">
      <c r="A1975" s="30"/>
      <c r="B1975" s="6">
        <v>1959</v>
      </c>
      <c r="C1975" s="6" t="s">
        <v>714</v>
      </c>
      <c r="D1975" s="52" t="s">
        <v>601</v>
      </c>
      <c r="E1975" s="96" t="s">
        <v>2618</v>
      </c>
      <c r="F1975" s="6" t="s">
        <v>2675</v>
      </c>
      <c r="G1975" s="70" t="s">
        <v>2619</v>
      </c>
      <c r="H1975" s="6" t="s">
        <v>2676</v>
      </c>
      <c r="I1975" s="70" t="s">
        <v>2620</v>
      </c>
      <c r="J1975" s="6" t="s">
        <v>2677</v>
      </c>
      <c r="K1975" s="6" t="s">
        <v>2621</v>
      </c>
      <c r="L1975" s="70" t="s">
        <v>595</v>
      </c>
      <c r="M1975" s="6" t="s">
        <v>918</v>
      </c>
      <c r="N1975" s="6">
        <v>1</v>
      </c>
      <c r="O1975" s="57">
        <f t="shared" si="52"/>
        <v>2625000</v>
      </c>
      <c r="P1975" s="57">
        <v>2625000</v>
      </c>
      <c r="Q1975" s="6" t="s">
        <v>519</v>
      </c>
      <c r="R1975" s="6" t="s">
        <v>770</v>
      </c>
      <c r="S1975" s="104" t="s">
        <v>2527</v>
      </c>
      <c r="T1975" s="6">
        <v>50</v>
      </c>
    </row>
    <row r="1976" spans="1:20" s="31" customFormat="1" ht="57.75" customHeight="1">
      <c r="A1976" s="30"/>
      <c r="B1976" s="6">
        <v>1960</v>
      </c>
      <c r="C1976" s="6" t="s">
        <v>714</v>
      </c>
      <c r="D1976" s="52" t="s">
        <v>601</v>
      </c>
      <c r="E1976" s="96" t="s">
        <v>2618</v>
      </c>
      <c r="F1976" s="6" t="s">
        <v>2675</v>
      </c>
      <c r="G1976" s="70" t="s">
        <v>2619</v>
      </c>
      <c r="H1976" s="6" t="s">
        <v>2676</v>
      </c>
      <c r="I1976" s="70" t="s">
        <v>2620</v>
      </c>
      <c r="J1976" s="6" t="s">
        <v>2677</v>
      </c>
      <c r="K1976" s="6" t="s">
        <v>2621</v>
      </c>
      <c r="L1976" s="70" t="s">
        <v>595</v>
      </c>
      <c r="M1976" s="6" t="s">
        <v>918</v>
      </c>
      <c r="N1976" s="6">
        <v>1</v>
      </c>
      <c r="O1976" s="57">
        <f t="shared" si="52"/>
        <v>2625000</v>
      </c>
      <c r="P1976" s="57">
        <v>2625000</v>
      </c>
      <c r="Q1976" s="6" t="s">
        <v>519</v>
      </c>
      <c r="R1976" s="6" t="s">
        <v>770</v>
      </c>
      <c r="S1976" s="104" t="s">
        <v>2032</v>
      </c>
      <c r="T1976" s="6">
        <v>50</v>
      </c>
    </row>
    <row r="1977" spans="1:20" s="31" customFormat="1" ht="57.75" customHeight="1">
      <c r="A1977" s="30"/>
      <c r="B1977" s="6">
        <v>1961</v>
      </c>
      <c r="C1977" s="6" t="s">
        <v>714</v>
      </c>
      <c r="D1977" s="52" t="s">
        <v>601</v>
      </c>
      <c r="E1977" s="96" t="s">
        <v>2618</v>
      </c>
      <c r="F1977" s="6" t="s">
        <v>2675</v>
      </c>
      <c r="G1977" s="70" t="s">
        <v>2619</v>
      </c>
      <c r="H1977" s="6" t="s">
        <v>2676</v>
      </c>
      <c r="I1977" s="70" t="s">
        <v>2620</v>
      </c>
      <c r="J1977" s="6" t="s">
        <v>2677</v>
      </c>
      <c r="K1977" s="6" t="s">
        <v>2621</v>
      </c>
      <c r="L1977" s="70" t="s">
        <v>595</v>
      </c>
      <c r="M1977" s="6" t="s">
        <v>918</v>
      </c>
      <c r="N1977" s="6">
        <v>1</v>
      </c>
      <c r="O1977" s="57">
        <f t="shared" si="52"/>
        <v>2625000</v>
      </c>
      <c r="P1977" s="57">
        <v>2625000</v>
      </c>
      <c r="Q1977" s="6" t="s">
        <v>519</v>
      </c>
      <c r="R1977" s="6" t="s">
        <v>770</v>
      </c>
      <c r="S1977" s="104" t="s">
        <v>2610</v>
      </c>
      <c r="T1977" s="6">
        <v>50</v>
      </c>
    </row>
    <row r="1978" spans="1:20" s="31" customFormat="1" ht="57.75" customHeight="1">
      <c r="A1978" s="30"/>
      <c r="B1978" s="6">
        <v>1962</v>
      </c>
      <c r="C1978" s="6" t="s">
        <v>714</v>
      </c>
      <c r="D1978" s="52" t="s">
        <v>601</v>
      </c>
      <c r="E1978" s="96" t="s">
        <v>2618</v>
      </c>
      <c r="F1978" s="6" t="s">
        <v>2675</v>
      </c>
      <c r="G1978" s="70" t="s">
        <v>2619</v>
      </c>
      <c r="H1978" s="6" t="s">
        <v>2676</v>
      </c>
      <c r="I1978" s="70" t="s">
        <v>2620</v>
      </c>
      <c r="J1978" s="6" t="s">
        <v>2677</v>
      </c>
      <c r="K1978" s="6" t="s">
        <v>2621</v>
      </c>
      <c r="L1978" s="70" t="s">
        <v>595</v>
      </c>
      <c r="M1978" s="6" t="s">
        <v>918</v>
      </c>
      <c r="N1978" s="6">
        <v>1</v>
      </c>
      <c r="O1978" s="57">
        <f t="shared" si="52"/>
        <v>2625000</v>
      </c>
      <c r="P1978" s="57">
        <v>2625000</v>
      </c>
      <c r="Q1978" s="6" t="s">
        <v>519</v>
      </c>
      <c r="R1978" s="6" t="s">
        <v>770</v>
      </c>
      <c r="S1978" s="98">
        <v>391000000</v>
      </c>
      <c r="T1978" s="6">
        <v>50</v>
      </c>
    </row>
    <row r="1979" spans="1:20" s="31" customFormat="1" ht="57.75" customHeight="1">
      <c r="A1979" s="30"/>
      <c r="B1979" s="6">
        <v>1963</v>
      </c>
      <c r="C1979" s="6" t="s">
        <v>714</v>
      </c>
      <c r="D1979" s="52" t="s">
        <v>601</v>
      </c>
      <c r="E1979" s="96" t="s">
        <v>2618</v>
      </c>
      <c r="F1979" s="6" t="s">
        <v>2675</v>
      </c>
      <c r="G1979" s="70" t="s">
        <v>2619</v>
      </c>
      <c r="H1979" s="6" t="s">
        <v>2676</v>
      </c>
      <c r="I1979" s="70" t="s">
        <v>2620</v>
      </c>
      <c r="J1979" s="6" t="s">
        <v>2677</v>
      </c>
      <c r="K1979" s="6" t="s">
        <v>2621</v>
      </c>
      <c r="L1979" s="70" t="s">
        <v>595</v>
      </c>
      <c r="M1979" s="6" t="s">
        <v>918</v>
      </c>
      <c r="N1979" s="6">
        <v>1</v>
      </c>
      <c r="O1979" s="57">
        <f t="shared" si="52"/>
        <v>2107143</v>
      </c>
      <c r="P1979" s="57">
        <v>2107143</v>
      </c>
      <c r="Q1979" s="6" t="s">
        <v>519</v>
      </c>
      <c r="R1979" s="6" t="s">
        <v>770</v>
      </c>
      <c r="S1979" s="104" t="s">
        <v>2519</v>
      </c>
      <c r="T1979" s="6">
        <v>50</v>
      </c>
    </row>
    <row r="1980" spans="1:20" s="31" customFormat="1" ht="57.75" customHeight="1">
      <c r="A1980" s="30"/>
      <c r="B1980" s="6">
        <v>1964</v>
      </c>
      <c r="C1980" s="6" t="s">
        <v>714</v>
      </c>
      <c r="D1980" s="52" t="s">
        <v>601</v>
      </c>
      <c r="E1980" s="96" t="s">
        <v>2618</v>
      </c>
      <c r="F1980" s="6" t="s">
        <v>2675</v>
      </c>
      <c r="G1980" s="70" t="s">
        <v>2619</v>
      </c>
      <c r="H1980" s="6" t="s">
        <v>2676</v>
      </c>
      <c r="I1980" s="70" t="s">
        <v>2620</v>
      </c>
      <c r="J1980" s="6" t="s">
        <v>2677</v>
      </c>
      <c r="K1980" s="6" t="s">
        <v>2621</v>
      </c>
      <c r="L1980" s="70" t="s">
        <v>595</v>
      </c>
      <c r="M1980" s="6" t="s">
        <v>918</v>
      </c>
      <c r="N1980" s="6">
        <v>1</v>
      </c>
      <c r="O1980" s="57">
        <f t="shared" si="52"/>
        <v>2089286</v>
      </c>
      <c r="P1980" s="57">
        <v>2089286</v>
      </c>
      <c r="Q1980" s="6" t="s">
        <v>519</v>
      </c>
      <c r="R1980" s="6" t="s">
        <v>770</v>
      </c>
      <c r="S1980" s="104" t="s">
        <v>719</v>
      </c>
      <c r="T1980" s="6">
        <v>50</v>
      </c>
    </row>
    <row r="1981" spans="1:20" s="31" customFormat="1" ht="57.75" customHeight="1">
      <c r="A1981" s="30"/>
      <c r="B1981" s="6">
        <v>1965</v>
      </c>
      <c r="C1981" s="6" t="s">
        <v>714</v>
      </c>
      <c r="D1981" s="52" t="s">
        <v>601</v>
      </c>
      <c r="E1981" s="96" t="s">
        <v>2618</v>
      </c>
      <c r="F1981" s="6" t="s">
        <v>2675</v>
      </c>
      <c r="G1981" s="70" t="s">
        <v>2619</v>
      </c>
      <c r="H1981" s="6" t="s">
        <v>2676</v>
      </c>
      <c r="I1981" s="70" t="s">
        <v>2620</v>
      </c>
      <c r="J1981" s="6" t="s">
        <v>2677</v>
      </c>
      <c r="K1981" s="6" t="s">
        <v>2621</v>
      </c>
      <c r="L1981" s="70" t="s">
        <v>595</v>
      </c>
      <c r="M1981" s="6" t="s">
        <v>918</v>
      </c>
      <c r="N1981" s="6">
        <v>1</v>
      </c>
      <c r="O1981" s="57">
        <f t="shared" si="52"/>
        <v>2089286</v>
      </c>
      <c r="P1981" s="57">
        <v>2089286</v>
      </c>
      <c r="Q1981" s="6" t="s">
        <v>519</v>
      </c>
      <c r="R1981" s="6" t="s">
        <v>770</v>
      </c>
      <c r="S1981" s="104" t="s">
        <v>906</v>
      </c>
      <c r="T1981" s="6">
        <v>50</v>
      </c>
    </row>
    <row r="1982" spans="1:20" s="31" customFormat="1" ht="57.75" customHeight="1">
      <c r="A1982" s="30"/>
      <c r="B1982" s="6">
        <v>1966</v>
      </c>
      <c r="C1982" s="6" t="s">
        <v>714</v>
      </c>
      <c r="D1982" s="52" t="s">
        <v>601</v>
      </c>
      <c r="E1982" s="96" t="s">
        <v>2618</v>
      </c>
      <c r="F1982" s="6" t="s">
        <v>2675</v>
      </c>
      <c r="G1982" s="70" t="s">
        <v>2619</v>
      </c>
      <c r="H1982" s="6" t="s">
        <v>2676</v>
      </c>
      <c r="I1982" s="70" t="s">
        <v>2620</v>
      </c>
      <c r="J1982" s="6" t="s">
        <v>2677</v>
      </c>
      <c r="K1982" s="6" t="s">
        <v>2621</v>
      </c>
      <c r="L1982" s="70" t="s">
        <v>595</v>
      </c>
      <c r="M1982" s="6" t="s">
        <v>918</v>
      </c>
      <c r="N1982" s="6">
        <v>1</v>
      </c>
      <c r="O1982" s="57">
        <f t="shared" si="52"/>
        <v>2089286</v>
      </c>
      <c r="P1982" s="57">
        <v>2089286</v>
      </c>
      <c r="Q1982" s="6" t="s">
        <v>519</v>
      </c>
      <c r="R1982" s="6" t="s">
        <v>770</v>
      </c>
      <c r="S1982" s="98">
        <v>591000000</v>
      </c>
      <c r="T1982" s="6">
        <v>50</v>
      </c>
    </row>
    <row r="1983" spans="1:20" s="31" customFormat="1" ht="62.25" customHeight="1">
      <c r="A1983" s="30"/>
      <c r="B1983" s="6">
        <v>1967</v>
      </c>
      <c r="C1983" s="6" t="s">
        <v>714</v>
      </c>
      <c r="D1983" s="52" t="s">
        <v>601</v>
      </c>
      <c r="E1983" s="96" t="s">
        <v>2618</v>
      </c>
      <c r="F1983" s="6" t="s">
        <v>2675</v>
      </c>
      <c r="G1983" s="70" t="s">
        <v>2619</v>
      </c>
      <c r="H1983" s="6" t="s">
        <v>2676</v>
      </c>
      <c r="I1983" s="70" t="s">
        <v>2620</v>
      </c>
      <c r="J1983" s="6" t="s">
        <v>2677</v>
      </c>
      <c r="K1983" s="6" t="s">
        <v>2621</v>
      </c>
      <c r="L1983" s="70" t="s">
        <v>595</v>
      </c>
      <c r="M1983" s="6" t="s">
        <v>918</v>
      </c>
      <c r="N1983" s="6">
        <v>1</v>
      </c>
      <c r="O1983" s="57">
        <f t="shared" si="52"/>
        <v>2107143</v>
      </c>
      <c r="P1983" s="57">
        <v>2107143</v>
      </c>
      <c r="Q1983" s="6" t="s">
        <v>519</v>
      </c>
      <c r="R1983" s="6" t="s">
        <v>770</v>
      </c>
      <c r="S1983" s="104" t="s">
        <v>2037</v>
      </c>
      <c r="T1983" s="6">
        <v>50</v>
      </c>
    </row>
    <row r="1984" spans="1:20" s="31" customFormat="1" ht="115.5" customHeight="1">
      <c r="A1984" s="30"/>
      <c r="B1984" s="6">
        <v>1968</v>
      </c>
      <c r="C1984" s="6" t="s">
        <v>714</v>
      </c>
      <c r="D1984" s="52" t="s">
        <v>601</v>
      </c>
      <c r="E1984" s="96" t="s">
        <v>1436</v>
      </c>
      <c r="F1984" s="6" t="s">
        <v>2678</v>
      </c>
      <c r="G1984" s="70" t="s">
        <v>1437</v>
      </c>
      <c r="H1984" s="6" t="s">
        <v>2679</v>
      </c>
      <c r="I1984" s="70" t="s">
        <v>1438</v>
      </c>
      <c r="J1984" s="6" t="s">
        <v>2680</v>
      </c>
      <c r="K1984" s="6" t="s">
        <v>2622</v>
      </c>
      <c r="L1984" s="70" t="s">
        <v>595</v>
      </c>
      <c r="M1984" s="6" t="s">
        <v>918</v>
      </c>
      <c r="N1984" s="6">
        <v>1</v>
      </c>
      <c r="O1984" s="57">
        <f t="shared" si="52"/>
        <v>2053571</v>
      </c>
      <c r="P1984" s="57">
        <v>2053571</v>
      </c>
      <c r="Q1984" s="6" t="s">
        <v>519</v>
      </c>
      <c r="R1984" s="6" t="s">
        <v>770</v>
      </c>
      <c r="S1984" s="98">
        <v>751110000</v>
      </c>
      <c r="T1984" s="6">
        <v>50</v>
      </c>
    </row>
    <row r="1985" spans="1:20" s="31" customFormat="1" ht="102">
      <c r="A1985" s="30"/>
      <c r="B1985" s="6">
        <v>1969</v>
      </c>
      <c r="C1985" s="6" t="s">
        <v>714</v>
      </c>
      <c r="D1985" s="52" t="s">
        <v>601</v>
      </c>
      <c r="E1985" s="96" t="s">
        <v>1436</v>
      </c>
      <c r="F1985" s="6" t="s">
        <v>2678</v>
      </c>
      <c r="G1985" s="70" t="s">
        <v>1437</v>
      </c>
      <c r="H1985" s="6" t="s">
        <v>2679</v>
      </c>
      <c r="I1985" s="70" t="s">
        <v>1438</v>
      </c>
      <c r="J1985" s="6" t="s">
        <v>2680</v>
      </c>
      <c r="K1985" s="6" t="s">
        <v>2622</v>
      </c>
      <c r="L1985" s="70" t="s">
        <v>595</v>
      </c>
      <c r="M1985" s="6" t="s">
        <v>918</v>
      </c>
      <c r="N1985" s="6">
        <v>1</v>
      </c>
      <c r="O1985" s="57">
        <f t="shared" si="52"/>
        <v>2053571</v>
      </c>
      <c r="P1985" s="57">
        <v>2053571</v>
      </c>
      <c r="Q1985" s="6" t="s">
        <v>519</v>
      </c>
      <c r="R1985" s="6" t="s">
        <v>770</v>
      </c>
      <c r="S1985" s="98">
        <v>751710000</v>
      </c>
      <c r="T1985" s="6">
        <v>50</v>
      </c>
    </row>
    <row r="1986" spans="1:20" s="31" customFormat="1" ht="102">
      <c r="A1986" s="30"/>
      <c r="B1986" s="6">
        <v>1970</v>
      </c>
      <c r="C1986" s="6" t="s">
        <v>714</v>
      </c>
      <c r="D1986" s="52" t="s">
        <v>601</v>
      </c>
      <c r="E1986" s="96" t="s">
        <v>1436</v>
      </c>
      <c r="F1986" s="6" t="s">
        <v>2678</v>
      </c>
      <c r="G1986" s="70" t="s">
        <v>1437</v>
      </c>
      <c r="H1986" s="6" t="s">
        <v>2679</v>
      </c>
      <c r="I1986" s="70" t="s">
        <v>1438</v>
      </c>
      <c r="J1986" s="6" t="s">
        <v>2680</v>
      </c>
      <c r="K1986" s="6" t="s">
        <v>2622</v>
      </c>
      <c r="L1986" s="70" t="s">
        <v>595</v>
      </c>
      <c r="M1986" s="6" t="s">
        <v>918</v>
      </c>
      <c r="N1986" s="6">
        <v>1</v>
      </c>
      <c r="O1986" s="57">
        <f t="shared" si="52"/>
        <v>2053571</v>
      </c>
      <c r="P1986" s="57">
        <v>2053571</v>
      </c>
      <c r="Q1986" s="6" t="s">
        <v>519</v>
      </c>
      <c r="R1986" s="6" t="s">
        <v>770</v>
      </c>
      <c r="S1986" s="98">
        <v>710000000</v>
      </c>
      <c r="T1986" s="6">
        <v>50</v>
      </c>
    </row>
    <row r="1987" spans="1:20" s="31" customFormat="1" ht="102">
      <c r="A1987" s="30"/>
      <c r="B1987" s="6">
        <v>1971</v>
      </c>
      <c r="C1987" s="6" t="s">
        <v>714</v>
      </c>
      <c r="D1987" s="52" t="s">
        <v>601</v>
      </c>
      <c r="E1987" s="96" t="s">
        <v>1436</v>
      </c>
      <c r="F1987" s="6" t="s">
        <v>2678</v>
      </c>
      <c r="G1987" s="70" t="s">
        <v>1437</v>
      </c>
      <c r="H1987" s="6" t="s">
        <v>2679</v>
      </c>
      <c r="I1987" s="70" t="s">
        <v>1438</v>
      </c>
      <c r="J1987" s="6" t="s">
        <v>2680</v>
      </c>
      <c r="K1987" s="6" t="s">
        <v>2622</v>
      </c>
      <c r="L1987" s="70" t="s">
        <v>595</v>
      </c>
      <c r="M1987" s="6" t="s">
        <v>918</v>
      </c>
      <c r="N1987" s="6">
        <v>1</v>
      </c>
      <c r="O1987" s="57">
        <f t="shared" si="52"/>
        <v>2053571</v>
      </c>
      <c r="P1987" s="57">
        <v>2053571</v>
      </c>
      <c r="Q1987" s="6" t="s">
        <v>519</v>
      </c>
      <c r="R1987" s="6" t="s">
        <v>770</v>
      </c>
      <c r="S1987" s="104">
        <v>231000000</v>
      </c>
      <c r="T1987" s="6">
        <v>50</v>
      </c>
    </row>
    <row r="1988" spans="1:20" s="31" customFormat="1" ht="102">
      <c r="A1988" s="30"/>
      <c r="B1988" s="6">
        <v>1972</v>
      </c>
      <c r="C1988" s="6" t="s">
        <v>714</v>
      </c>
      <c r="D1988" s="52" t="s">
        <v>601</v>
      </c>
      <c r="E1988" s="96" t="s">
        <v>1436</v>
      </c>
      <c r="F1988" s="6" t="s">
        <v>2678</v>
      </c>
      <c r="G1988" s="70" t="s">
        <v>1437</v>
      </c>
      <c r="H1988" s="6" t="s">
        <v>2679</v>
      </c>
      <c r="I1988" s="70" t="s">
        <v>1438</v>
      </c>
      <c r="J1988" s="6" t="s">
        <v>2680</v>
      </c>
      <c r="K1988" s="6" t="s">
        <v>2622</v>
      </c>
      <c r="L1988" s="70" t="s">
        <v>595</v>
      </c>
      <c r="M1988" s="6" t="s">
        <v>918</v>
      </c>
      <c r="N1988" s="6">
        <v>1</v>
      </c>
      <c r="O1988" s="57">
        <f t="shared" si="52"/>
        <v>2053571</v>
      </c>
      <c r="P1988" s="57">
        <v>2053571</v>
      </c>
      <c r="Q1988" s="6" t="s">
        <v>519</v>
      </c>
      <c r="R1988" s="6" t="s">
        <v>770</v>
      </c>
      <c r="S1988" s="104" t="s">
        <v>2527</v>
      </c>
      <c r="T1988" s="6">
        <v>50</v>
      </c>
    </row>
    <row r="1989" spans="1:20" s="31" customFormat="1" ht="95.25" customHeight="1">
      <c r="A1989" s="30"/>
      <c r="B1989" s="6">
        <v>1973</v>
      </c>
      <c r="C1989" s="6" t="s">
        <v>714</v>
      </c>
      <c r="D1989" s="52" t="s">
        <v>601</v>
      </c>
      <c r="E1989" s="96" t="s">
        <v>2623</v>
      </c>
      <c r="F1989" s="97" t="s">
        <v>2681</v>
      </c>
      <c r="G1989" s="70" t="s">
        <v>2624</v>
      </c>
      <c r="H1989" s="97" t="s">
        <v>2681</v>
      </c>
      <c r="I1989" s="70" t="s">
        <v>2624</v>
      </c>
      <c r="J1989" s="6" t="s">
        <v>2682</v>
      </c>
      <c r="K1989" s="6" t="s">
        <v>2625</v>
      </c>
      <c r="L1989" s="70" t="s">
        <v>595</v>
      </c>
      <c r="M1989" s="6" t="s">
        <v>918</v>
      </c>
      <c r="N1989" s="6">
        <v>1</v>
      </c>
      <c r="O1989" s="57">
        <f t="shared" si="52"/>
        <v>3171429</v>
      </c>
      <c r="P1989" s="57">
        <v>3171429</v>
      </c>
      <c r="Q1989" s="6" t="s">
        <v>505</v>
      </c>
      <c r="R1989" s="6" t="s">
        <v>770</v>
      </c>
      <c r="S1989" s="98">
        <v>751110000</v>
      </c>
      <c r="T1989" s="6">
        <v>50</v>
      </c>
    </row>
    <row r="1990" spans="1:20" s="31" customFormat="1" ht="130.5" customHeight="1">
      <c r="A1990" s="30"/>
      <c r="B1990" s="6">
        <v>1974</v>
      </c>
      <c r="C1990" s="6" t="s">
        <v>714</v>
      </c>
      <c r="D1990" s="52" t="s">
        <v>601</v>
      </c>
      <c r="E1990" s="38" t="s">
        <v>2418</v>
      </c>
      <c r="F1990" s="38" t="s">
        <v>2419</v>
      </c>
      <c r="G1990" s="38" t="s">
        <v>2420</v>
      </c>
      <c r="H1990" s="38" t="s">
        <v>2421</v>
      </c>
      <c r="I1990" s="38" t="s">
        <v>2422</v>
      </c>
      <c r="J1990" s="43" t="s">
        <v>2683</v>
      </c>
      <c r="K1990" s="6" t="s">
        <v>2660</v>
      </c>
      <c r="L1990" s="70" t="s">
        <v>595</v>
      </c>
      <c r="M1990" s="6" t="s">
        <v>918</v>
      </c>
      <c r="N1990" s="6">
        <v>1</v>
      </c>
      <c r="O1990" s="57">
        <f t="shared" si="52"/>
        <v>170000</v>
      </c>
      <c r="P1990" s="105">
        <v>170000</v>
      </c>
      <c r="Q1990" s="6" t="s">
        <v>519</v>
      </c>
      <c r="R1990" s="6" t="s">
        <v>770</v>
      </c>
      <c r="S1990" s="104" t="s">
        <v>793</v>
      </c>
      <c r="T1990" s="6">
        <v>50</v>
      </c>
    </row>
    <row r="1991" spans="1:20" s="31" customFormat="1" ht="93.75" customHeight="1">
      <c r="A1991" s="30"/>
      <c r="B1991" s="6">
        <v>1975</v>
      </c>
      <c r="C1991" s="6" t="s">
        <v>714</v>
      </c>
      <c r="D1991" s="52" t="s">
        <v>601</v>
      </c>
      <c r="E1991" s="38" t="s">
        <v>1457</v>
      </c>
      <c r="F1991" s="38" t="s">
        <v>1981</v>
      </c>
      <c r="G1991" s="38" t="s">
        <v>1458</v>
      </c>
      <c r="H1991" s="38" t="s">
        <v>1982</v>
      </c>
      <c r="I1991" s="38" t="s">
        <v>1459</v>
      </c>
      <c r="J1991" s="38" t="s">
        <v>2686</v>
      </c>
      <c r="K1991" s="6" t="s">
        <v>2684</v>
      </c>
      <c r="L1991" s="70" t="s">
        <v>595</v>
      </c>
      <c r="M1991" s="6" t="s">
        <v>918</v>
      </c>
      <c r="N1991" s="6">
        <v>1</v>
      </c>
      <c r="O1991" s="57">
        <f t="shared" si="52"/>
        <v>446429</v>
      </c>
      <c r="P1991" s="105">
        <v>446429</v>
      </c>
      <c r="Q1991" s="6" t="s">
        <v>519</v>
      </c>
      <c r="R1991" s="6" t="s">
        <v>770</v>
      </c>
      <c r="S1991" s="98">
        <v>751110000</v>
      </c>
      <c r="T1991" s="6">
        <v>50</v>
      </c>
    </row>
    <row r="1992" spans="1:20" ht="68.25" customHeight="1">
      <c r="B1992" s="6">
        <v>1976</v>
      </c>
      <c r="C1992" s="6" t="s">
        <v>714</v>
      </c>
      <c r="D1992" s="52" t="s">
        <v>601</v>
      </c>
      <c r="E1992" s="38" t="s">
        <v>1343</v>
      </c>
      <c r="F1992" s="6" t="s">
        <v>1992</v>
      </c>
      <c r="G1992" s="38" t="s">
        <v>1344</v>
      </c>
      <c r="H1992" s="38" t="s">
        <v>1993</v>
      </c>
      <c r="I1992" s="38" t="s">
        <v>2687</v>
      </c>
      <c r="J1992" s="38" t="s">
        <v>2688</v>
      </c>
      <c r="K1992" s="6" t="s">
        <v>2685</v>
      </c>
      <c r="L1992" s="70" t="s">
        <v>595</v>
      </c>
      <c r="M1992" s="6" t="s">
        <v>918</v>
      </c>
      <c r="N1992" s="6">
        <v>1</v>
      </c>
      <c r="O1992" s="57">
        <f t="shared" si="52"/>
        <v>1785714</v>
      </c>
      <c r="P1992" s="105">
        <v>1785714</v>
      </c>
      <c r="Q1992" s="6" t="s">
        <v>505</v>
      </c>
      <c r="R1992" s="6" t="s">
        <v>770</v>
      </c>
      <c r="S1992" s="98">
        <v>751110000</v>
      </c>
      <c r="T1992" s="6">
        <v>50</v>
      </c>
    </row>
    <row r="1993" spans="1:20" ht="127.5" outlineLevel="1">
      <c r="B1993" s="6">
        <v>1977</v>
      </c>
      <c r="C1993" s="16" t="s">
        <v>714</v>
      </c>
      <c r="D1993" s="6" t="s">
        <v>601</v>
      </c>
      <c r="E1993" s="12" t="s">
        <v>2689</v>
      </c>
      <c r="F1993" s="70" t="s">
        <v>2694</v>
      </c>
      <c r="G1993" s="70" t="s">
        <v>2690</v>
      </c>
      <c r="H1993" s="70" t="s">
        <v>2695</v>
      </c>
      <c r="I1993" s="70" t="s">
        <v>2691</v>
      </c>
      <c r="J1993" s="70" t="s">
        <v>2696</v>
      </c>
      <c r="K1993" s="70" t="s">
        <v>2692</v>
      </c>
      <c r="L1993" s="70" t="s">
        <v>595</v>
      </c>
      <c r="M1993" s="12" t="s">
        <v>918</v>
      </c>
      <c r="N1993" s="10">
        <v>1</v>
      </c>
      <c r="O1993" s="57">
        <f t="shared" si="52"/>
        <v>38000</v>
      </c>
      <c r="P1993" s="62">
        <v>38000</v>
      </c>
      <c r="Q1993" s="15" t="s">
        <v>519</v>
      </c>
      <c r="R1993" s="6" t="s">
        <v>2693</v>
      </c>
      <c r="S1993" s="38" t="s">
        <v>1179</v>
      </c>
      <c r="T1993" s="15">
        <v>100</v>
      </c>
    </row>
    <row r="1994" spans="1:20" ht="51" outlineLevel="1">
      <c r="B1994" s="6">
        <v>1978</v>
      </c>
      <c r="C1994" s="36" t="s">
        <v>714</v>
      </c>
      <c r="D1994" s="43" t="s">
        <v>715</v>
      </c>
      <c r="E1994" s="38" t="s">
        <v>2697</v>
      </c>
      <c r="F1994" s="70" t="s">
        <v>2700</v>
      </c>
      <c r="G1994" s="70" t="s">
        <v>2698</v>
      </c>
      <c r="H1994" s="70" t="s">
        <v>2701</v>
      </c>
      <c r="I1994" s="70" t="s">
        <v>2699</v>
      </c>
      <c r="J1994" s="70" t="s">
        <v>2700</v>
      </c>
      <c r="K1994" s="70" t="s">
        <v>2698</v>
      </c>
      <c r="L1994" s="70" t="s">
        <v>595</v>
      </c>
      <c r="M1994" s="12" t="s">
        <v>648</v>
      </c>
      <c r="N1994" s="26">
        <v>3</v>
      </c>
      <c r="O1994" s="57">
        <f t="shared" si="52"/>
        <v>30000</v>
      </c>
      <c r="P1994" s="62">
        <v>90000</v>
      </c>
      <c r="Q1994" s="6" t="s">
        <v>519</v>
      </c>
      <c r="R1994" s="6" t="s">
        <v>2693</v>
      </c>
      <c r="S1994" s="38" t="s">
        <v>929</v>
      </c>
      <c r="T1994" s="26">
        <v>100</v>
      </c>
    </row>
    <row r="1995" spans="1:20" ht="76.5" outlineLevel="1">
      <c r="B1995" s="6">
        <v>1979</v>
      </c>
      <c r="C1995" s="36" t="s">
        <v>714</v>
      </c>
      <c r="D1995" s="43" t="s">
        <v>715</v>
      </c>
      <c r="E1995" s="38" t="s">
        <v>777</v>
      </c>
      <c r="F1995" s="70" t="s">
        <v>1014</v>
      </c>
      <c r="G1995" s="70" t="s">
        <v>697</v>
      </c>
      <c r="H1995" s="70" t="s">
        <v>2189</v>
      </c>
      <c r="I1995" s="70" t="s">
        <v>778</v>
      </c>
      <c r="J1995" s="70" t="s">
        <v>2703</v>
      </c>
      <c r="K1995" s="70" t="s">
        <v>2702</v>
      </c>
      <c r="L1995" s="70" t="s">
        <v>595</v>
      </c>
      <c r="M1995" s="12" t="s">
        <v>648</v>
      </c>
      <c r="N1995" s="26">
        <v>3</v>
      </c>
      <c r="O1995" s="57">
        <f t="shared" ref="O1995:O2009" si="53">P1995/N1995</f>
        <v>38000</v>
      </c>
      <c r="P1995" s="62">
        <v>114000</v>
      </c>
      <c r="Q1995" s="6" t="s">
        <v>519</v>
      </c>
      <c r="R1995" s="6" t="s">
        <v>2693</v>
      </c>
      <c r="S1995" s="38" t="s">
        <v>929</v>
      </c>
      <c r="T1995" s="26">
        <v>100</v>
      </c>
    </row>
    <row r="1996" spans="1:20" ht="51" outlineLevel="1">
      <c r="B1996" s="6">
        <v>1980</v>
      </c>
      <c r="C1996" s="36" t="s">
        <v>714</v>
      </c>
      <c r="D1996" s="43" t="s">
        <v>715</v>
      </c>
      <c r="E1996" s="38" t="s">
        <v>935</v>
      </c>
      <c r="F1996" s="70" t="s">
        <v>470</v>
      </c>
      <c r="G1996" s="70" t="s">
        <v>467</v>
      </c>
      <c r="H1996" s="70" t="s">
        <v>2279</v>
      </c>
      <c r="I1996" s="70" t="s">
        <v>936</v>
      </c>
      <c r="J1996" s="70" t="s">
        <v>2705</v>
      </c>
      <c r="K1996" s="70" t="s">
        <v>2704</v>
      </c>
      <c r="L1996" s="70" t="s">
        <v>595</v>
      </c>
      <c r="M1996" s="12" t="s">
        <v>648</v>
      </c>
      <c r="N1996" s="26">
        <v>1000</v>
      </c>
      <c r="O1996" s="57">
        <f t="shared" si="53"/>
        <v>80</v>
      </c>
      <c r="P1996" s="62">
        <v>80000</v>
      </c>
      <c r="Q1996" s="6" t="s">
        <v>519</v>
      </c>
      <c r="R1996" s="6" t="s">
        <v>2693</v>
      </c>
      <c r="S1996" s="38" t="s">
        <v>929</v>
      </c>
      <c r="T1996" s="26">
        <v>100</v>
      </c>
    </row>
    <row r="1997" spans="1:20" ht="76.5" outlineLevel="1">
      <c r="A1997" s="17" t="s">
        <v>2706</v>
      </c>
      <c r="B1997" s="6">
        <v>1981</v>
      </c>
      <c r="C1997" s="36" t="s">
        <v>714</v>
      </c>
      <c r="D1997" s="43" t="s">
        <v>601</v>
      </c>
      <c r="E1997" s="94" t="s">
        <v>2607</v>
      </c>
      <c r="F1997" s="6" t="s">
        <v>2631</v>
      </c>
      <c r="G1997" s="95" t="s">
        <v>2608</v>
      </c>
      <c r="H1997" s="6" t="s">
        <v>2631</v>
      </c>
      <c r="I1997" s="95" t="s">
        <v>2608</v>
      </c>
      <c r="J1997" s="70" t="s">
        <v>2708</v>
      </c>
      <c r="K1997" s="70" t="s">
        <v>2707</v>
      </c>
      <c r="L1997" s="70" t="s">
        <v>595</v>
      </c>
      <c r="M1997" s="12" t="s">
        <v>918</v>
      </c>
      <c r="N1997" s="26">
        <v>1</v>
      </c>
      <c r="O1997" s="57">
        <f t="shared" si="53"/>
        <v>42000</v>
      </c>
      <c r="P1997" s="62">
        <v>42000</v>
      </c>
      <c r="Q1997" s="6" t="s">
        <v>519</v>
      </c>
      <c r="R1997" s="6" t="s">
        <v>2693</v>
      </c>
      <c r="S1997" s="38" t="s">
        <v>929</v>
      </c>
      <c r="T1997" s="26">
        <v>100</v>
      </c>
    </row>
    <row r="1998" spans="1:20" ht="51" outlineLevel="1">
      <c r="B1998" s="6">
        <v>1982</v>
      </c>
      <c r="C1998" s="16" t="s">
        <v>714</v>
      </c>
      <c r="D1998" s="6" t="s">
        <v>601</v>
      </c>
      <c r="E1998" s="12" t="s">
        <v>2489</v>
      </c>
      <c r="F1998" s="70" t="s">
        <v>2491</v>
      </c>
      <c r="G1998" s="70" t="s">
        <v>2490</v>
      </c>
      <c r="H1998" s="70" t="s">
        <v>2491</v>
      </c>
      <c r="I1998" s="70" t="s">
        <v>2490</v>
      </c>
      <c r="J1998" s="70" t="s">
        <v>2491</v>
      </c>
      <c r="K1998" s="70" t="s">
        <v>2490</v>
      </c>
      <c r="L1998" s="70" t="s">
        <v>595</v>
      </c>
      <c r="M1998" s="12" t="s">
        <v>918</v>
      </c>
      <c r="N1998" s="26">
        <v>1</v>
      </c>
      <c r="O1998" s="57">
        <f t="shared" si="53"/>
        <v>216073</v>
      </c>
      <c r="P1998" s="62">
        <v>216073</v>
      </c>
      <c r="Q1998" s="6" t="s">
        <v>519</v>
      </c>
      <c r="R1998" s="6" t="s">
        <v>770</v>
      </c>
      <c r="S1998" s="38">
        <v>271000000</v>
      </c>
      <c r="T1998" s="15">
        <v>0</v>
      </c>
    </row>
    <row r="1999" spans="1:20" ht="51" outlineLevel="1">
      <c r="B1999" s="6">
        <v>1983</v>
      </c>
      <c r="C1999" s="16" t="s">
        <v>714</v>
      </c>
      <c r="D1999" s="6" t="s">
        <v>601</v>
      </c>
      <c r="E1999" s="12" t="s">
        <v>2716</v>
      </c>
      <c r="F1999" s="70" t="s">
        <v>2712</v>
      </c>
      <c r="G1999" s="70" t="s">
        <v>2713</v>
      </c>
      <c r="H1999" s="70" t="s">
        <v>2714</v>
      </c>
      <c r="I1999" s="70" t="s">
        <v>2715</v>
      </c>
      <c r="J1999" s="70" t="s">
        <v>2714</v>
      </c>
      <c r="K1999" s="70" t="s">
        <v>2715</v>
      </c>
      <c r="L1999" s="70" t="s">
        <v>595</v>
      </c>
      <c r="M1999" s="12" t="s">
        <v>918</v>
      </c>
      <c r="N1999" s="26">
        <v>1</v>
      </c>
      <c r="O1999" s="57">
        <f t="shared" si="53"/>
        <v>86962</v>
      </c>
      <c r="P1999" s="62">
        <v>86962</v>
      </c>
      <c r="Q1999" s="6" t="s">
        <v>519</v>
      </c>
      <c r="R1999" s="6" t="s">
        <v>770</v>
      </c>
      <c r="S1999" s="38">
        <v>271000000</v>
      </c>
      <c r="T1999" s="15">
        <v>100</v>
      </c>
    </row>
    <row r="2000" spans="1:20" s="31" customFormat="1" ht="115.5" customHeight="1">
      <c r="A2000" s="30"/>
      <c r="B2000" s="6">
        <v>1984</v>
      </c>
      <c r="C2000" s="6" t="s">
        <v>714</v>
      </c>
      <c r="D2000" s="52" t="s">
        <v>601</v>
      </c>
      <c r="E2000" s="12" t="s">
        <v>970</v>
      </c>
      <c r="F2000" s="6" t="s">
        <v>1961</v>
      </c>
      <c r="G2000" s="93" t="s">
        <v>920</v>
      </c>
      <c r="H2000" s="6" t="s">
        <v>1841</v>
      </c>
      <c r="I2000" s="93" t="s">
        <v>1503</v>
      </c>
      <c r="J2000" s="6" t="s">
        <v>2723</v>
      </c>
      <c r="K2000" s="6" t="s">
        <v>2722</v>
      </c>
      <c r="L2000" s="6" t="s">
        <v>595</v>
      </c>
      <c r="M2000" s="6" t="s">
        <v>918</v>
      </c>
      <c r="N2000" s="6">
        <v>1</v>
      </c>
      <c r="O2000" s="57">
        <f t="shared" si="53"/>
        <v>3800000</v>
      </c>
      <c r="P2000" s="57">
        <v>3800000</v>
      </c>
      <c r="Q2000" s="6" t="s">
        <v>519</v>
      </c>
      <c r="R2000" s="6" t="s">
        <v>770</v>
      </c>
      <c r="S2000" s="6">
        <v>710000000</v>
      </c>
      <c r="T2000" s="6">
        <v>30</v>
      </c>
    </row>
    <row r="2001" spans="1:20" s="31" customFormat="1" ht="133.5" customHeight="1">
      <c r="A2001" s="30"/>
      <c r="B2001" s="6">
        <v>1985</v>
      </c>
      <c r="C2001" s="6" t="s">
        <v>714</v>
      </c>
      <c r="D2001" s="52" t="s">
        <v>601</v>
      </c>
      <c r="E2001" s="12" t="s">
        <v>2648</v>
      </c>
      <c r="F2001" s="6" t="s">
        <v>2671</v>
      </c>
      <c r="G2001" s="6" t="s">
        <v>2649</v>
      </c>
      <c r="H2001" s="6" t="s">
        <v>2671</v>
      </c>
      <c r="I2001" s="6" t="s">
        <v>2649</v>
      </c>
      <c r="J2001" s="6" t="s">
        <v>2670</v>
      </c>
      <c r="K2001" s="6" t="s">
        <v>2727</v>
      </c>
      <c r="L2001" s="6" t="s">
        <v>595</v>
      </c>
      <c r="M2001" s="6" t="s">
        <v>918</v>
      </c>
      <c r="N2001" s="6">
        <v>1</v>
      </c>
      <c r="O2001" s="57">
        <f t="shared" si="53"/>
        <v>4573007</v>
      </c>
      <c r="P2001" s="57">
        <v>4573007</v>
      </c>
      <c r="Q2001" s="6" t="s">
        <v>519</v>
      </c>
      <c r="R2001" s="6" t="s">
        <v>770</v>
      </c>
      <c r="S2001" s="6">
        <v>710000000</v>
      </c>
      <c r="T2001" s="6">
        <v>30</v>
      </c>
    </row>
    <row r="2002" spans="1:20" s="31" customFormat="1" ht="89.25">
      <c r="A2002" s="30"/>
      <c r="B2002" s="6">
        <v>1986</v>
      </c>
      <c r="C2002" s="6" t="s">
        <v>714</v>
      </c>
      <c r="D2002" s="6" t="s">
        <v>601</v>
      </c>
      <c r="E2002" s="6" t="s">
        <v>2762</v>
      </c>
      <c r="F2002" s="6" t="s">
        <v>2765</v>
      </c>
      <c r="G2002" s="6" t="s">
        <v>2763</v>
      </c>
      <c r="H2002" s="6" t="s">
        <v>2766</v>
      </c>
      <c r="I2002" s="6" t="s">
        <v>2764</v>
      </c>
      <c r="J2002" s="6" t="s">
        <v>2766</v>
      </c>
      <c r="K2002" s="6" t="s">
        <v>2764</v>
      </c>
      <c r="L2002" s="6" t="s">
        <v>595</v>
      </c>
      <c r="M2002" s="6" t="s">
        <v>918</v>
      </c>
      <c r="N2002" s="6">
        <v>1</v>
      </c>
      <c r="O2002" s="105">
        <v>600000</v>
      </c>
      <c r="P2002" s="105">
        <v>600000</v>
      </c>
      <c r="Q2002" s="6" t="s">
        <v>519</v>
      </c>
      <c r="R2002" s="6" t="s">
        <v>616</v>
      </c>
      <c r="S2002" s="98">
        <v>751110000</v>
      </c>
      <c r="T2002" s="98">
        <v>100</v>
      </c>
    </row>
    <row r="2003" spans="1:20" s="31" customFormat="1" ht="93.75" customHeight="1">
      <c r="A2003" s="30"/>
      <c r="B2003" s="6">
        <v>1987</v>
      </c>
      <c r="C2003" s="6" t="s">
        <v>714</v>
      </c>
      <c r="D2003" s="52" t="s">
        <v>601</v>
      </c>
      <c r="E2003" s="38" t="s">
        <v>1457</v>
      </c>
      <c r="F2003" s="38" t="s">
        <v>1981</v>
      </c>
      <c r="G2003" s="38" t="s">
        <v>1458</v>
      </c>
      <c r="H2003" s="38" t="s">
        <v>1982</v>
      </c>
      <c r="I2003" s="38" t="s">
        <v>1459</v>
      </c>
      <c r="J2003" s="6" t="s">
        <v>2771</v>
      </c>
      <c r="K2003" s="6" t="s">
        <v>2717</v>
      </c>
      <c r="L2003" s="70" t="s">
        <v>595</v>
      </c>
      <c r="M2003" s="6" t="s">
        <v>918</v>
      </c>
      <c r="N2003" s="6">
        <v>1</v>
      </c>
      <c r="O2003" s="57">
        <f t="shared" si="53"/>
        <v>75000</v>
      </c>
      <c r="P2003" s="57">
        <v>75000</v>
      </c>
      <c r="Q2003" s="6" t="s">
        <v>519</v>
      </c>
      <c r="R2003" s="6" t="s">
        <v>519</v>
      </c>
      <c r="S2003" s="98">
        <v>751110000</v>
      </c>
      <c r="T2003" s="6">
        <v>100</v>
      </c>
    </row>
    <row r="2004" spans="1:20" s="31" customFormat="1" ht="63.75">
      <c r="A2004" s="30"/>
      <c r="B2004" s="6">
        <v>1988</v>
      </c>
      <c r="C2004" s="6" t="s">
        <v>714</v>
      </c>
      <c r="D2004" s="52" t="s">
        <v>1469</v>
      </c>
      <c r="E2004" s="38" t="s">
        <v>2751</v>
      </c>
      <c r="F2004" s="38" t="s">
        <v>2760</v>
      </c>
      <c r="G2004" s="38" t="s">
        <v>2752</v>
      </c>
      <c r="H2004" s="38" t="s">
        <v>2761</v>
      </c>
      <c r="I2004" s="38" t="s">
        <v>2753</v>
      </c>
      <c r="J2004" s="38" t="s">
        <v>2755</v>
      </c>
      <c r="K2004" s="6" t="s">
        <v>2754</v>
      </c>
      <c r="L2004" s="70" t="s">
        <v>595</v>
      </c>
      <c r="M2004" s="6" t="s">
        <v>1469</v>
      </c>
      <c r="N2004" s="6">
        <v>1</v>
      </c>
      <c r="O2004" s="57">
        <f t="shared" ref="O2004" si="54">P2004/N2004</f>
        <v>405000</v>
      </c>
      <c r="P2004" s="57">
        <v>405000</v>
      </c>
      <c r="Q2004" s="6" t="s">
        <v>519</v>
      </c>
      <c r="R2004" s="6" t="s">
        <v>2693</v>
      </c>
      <c r="S2004" s="98">
        <v>751110000</v>
      </c>
      <c r="T2004" s="6">
        <v>100</v>
      </c>
    </row>
    <row r="2005" spans="1:20" ht="51" outlineLevel="1">
      <c r="B2005" s="6">
        <v>1989</v>
      </c>
      <c r="C2005" s="36" t="s">
        <v>714</v>
      </c>
      <c r="D2005" s="52" t="s">
        <v>1469</v>
      </c>
      <c r="E2005" s="6" t="s">
        <v>2767</v>
      </c>
      <c r="F2005" s="70" t="s">
        <v>2769</v>
      </c>
      <c r="G2005" s="70" t="s">
        <v>2768</v>
      </c>
      <c r="H2005" s="70" t="s">
        <v>2769</v>
      </c>
      <c r="I2005" s="70" t="s">
        <v>2768</v>
      </c>
      <c r="J2005" s="70" t="s">
        <v>2769</v>
      </c>
      <c r="K2005" s="70" t="s">
        <v>2768</v>
      </c>
      <c r="L2005" s="70" t="s">
        <v>595</v>
      </c>
      <c r="M2005" s="6" t="s">
        <v>1469</v>
      </c>
      <c r="N2005" s="26">
        <v>1</v>
      </c>
      <c r="O2005" s="57">
        <f>P2005/N2005</f>
        <v>448483</v>
      </c>
      <c r="P2005" s="62">
        <v>448483</v>
      </c>
      <c r="Q2005" s="6" t="s">
        <v>519</v>
      </c>
      <c r="R2005" s="6" t="s">
        <v>2770</v>
      </c>
      <c r="S2005" s="38">
        <v>631000000</v>
      </c>
      <c r="T2005" s="26">
        <v>100</v>
      </c>
    </row>
    <row r="2006" spans="1:20" s="31" customFormat="1" ht="57.75" customHeight="1">
      <c r="A2006" s="30"/>
      <c r="B2006" s="6">
        <v>1990</v>
      </c>
      <c r="C2006" s="6" t="s">
        <v>714</v>
      </c>
      <c r="D2006" s="52" t="s">
        <v>715</v>
      </c>
      <c r="E2006" s="96" t="s">
        <v>733</v>
      </c>
      <c r="F2006" s="70" t="s">
        <v>734</v>
      </c>
      <c r="G2006" s="70" t="s">
        <v>735</v>
      </c>
      <c r="H2006" s="70" t="s">
        <v>877</v>
      </c>
      <c r="I2006" s="70" t="s">
        <v>737</v>
      </c>
      <c r="J2006" s="70" t="s">
        <v>734</v>
      </c>
      <c r="K2006" s="70" t="s">
        <v>735</v>
      </c>
      <c r="L2006" s="70" t="s">
        <v>595</v>
      </c>
      <c r="M2006" s="6" t="s">
        <v>648</v>
      </c>
      <c r="N2006" s="6">
        <v>3</v>
      </c>
      <c r="O2006" s="57">
        <f>P2006/N2006</f>
        <v>45429</v>
      </c>
      <c r="P2006" s="57">
        <v>136287</v>
      </c>
      <c r="Q2006" s="6" t="s">
        <v>519</v>
      </c>
      <c r="R2006" s="6" t="s">
        <v>519</v>
      </c>
      <c r="S2006" s="104" t="s">
        <v>1025</v>
      </c>
      <c r="T2006" s="6">
        <v>100</v>
      </c>
    </row>
    <row r="2007" spans="1:20" s="31" customFormat="1" ht="102">
      <c r="A2007" s="30"/>
      <c r="B2007" s="6">
        <v>1991</v>
      </c>
      <c r="C2007" s="6" t="s">
        <v>714</v>
      </c>
      <c r="D2007" s="52" t="s">
        <v>715</v>
      </c>
      <c r="E2007" s="96" t="s">
        <v>752</v>
      </c>
      <c r="F2007" s="6" t="s">
        <v>983</v>
      </c>
      <c r="G2007" s="70" t="s">
        <v>983</v>
      </c>
      <c r="H2007" s="6" t="s">
        <v>2169</v>
      </c>
      <c r="I2007" s="70" t="s">
        <v>755</v>
      </c>
      <c r="J2007" s="6" t="s">
        <v>983</v>
      </c>
      <c r="K2007" s="70" t="s">
        <v>983</v>
      </c>
      <c r="L2007" s="70" t="s">
        <v>595</v>
      </c>
      <c r="M2007" s="6" t="s">
        <v>648</v>
      </c>
      <c r="N2007" s="6">
        <v>3</v>
      </c>
      <c r="O2007" s="57">
        <f>P2007/N2007</f>
        <v>10871</v>
      </c>
      <c r="P2007" s="57">
        <v>32613</v>
      </c>
      <c r="Q2007" s="6" t="s">
        <v>519</v>
      </c>
      <c r="R2007" s="6" t="s">
        <v>519</v>
      </c>
      <c r="S2007" s="104" t="s">
        <v>1025</v>
      </c>
      <c r="T2007" s="6">
        <v>100</v>
      </c>
    </row>
    <row r="2008" spans="1:20" s="31" customFormat="1" ht="57.75" customHeight="1">
      <c r="A2008" s="30"/>
      <c r="B2008" s="6">
        <v>1992</v>
      </c>
      <c r="C2008" s="6" t="s">
        <v>714</v>
      </c>
      <c r="D2008" s="52" t="s">
        <v>715</v>
      </c>
      <c r="E2008" s="96" t="s">
        <v>748</v>
      </c>
      <c r="F2008" s="6" t="s">
        <v>749</v>
      </c>
      <c r="G2008" s="70" t="s">
        <v>109</v>
      </c>
      <c r="H2008" s="6" t="s">
        <v>750</v>
      </c>
      <c r="I2008" s="70" t="s">
        <v>751</v>
      </c>
      <c r="J2008" s="6" t="s">
        <v>749</v>
      </c>
      <c r="K2008" s="70" t="s">
        <v>109</v>
      </c>
      <c r="L2008" s="70" t="s">
        <v>595</v>
      </c>
      <c r="M2008" s="6" t="s">
        <v>648</v>
      </c>
      <c r="N2008" s="6">
        <v>3</v>
      </c>
      <c r="O2008" s="57">
        <f t="shared" si="53"/>
        <v>12157</v>
      </c>
      <c r="P2008" s="57">
        <v>36471</v>
      </c>
      <c r="Q2008" s="6" t="s">
        <v>519</v>
      </c>
      <c r="R2008" s="6" t="s">
        <v>519</v>
      </c>
      <c r="S2008" s="104" t="s">
        <v>1025</v>
      </c>
      <c r="T2008" s="6">
        <v>100</v>
      </c>
    </row>
    <row r="2009" spans="1:20" s="31" customFormat="1" ht="25.5">
      <c r="A2009" s="30"/>
      <c r="B2009" s="6">
        <v>1993</v>
      </c>
      <c r="C2009" s="6" t="s">
        <v>714</v>
      </c>
      <c r="D2009" s="52" t="s">
        <v>715</v>
      </c>
      <c r="E2009" s="6" t="s">
        <v>2732</v>
      </c>
      <c r="F2009" s="6" t="s">
        <v>2733</v>
      </c>
      <c r="G2009" s="6" t="s">
        <v>2734</v>
      </c>
      <c r="H2009" s="6" t="s">
        <v>2737</v>
      </c>
      <c r="I2009" s="6" t="s">
        <v>2738</v>
      </c>
      <c r="J2009" s="6" t="s">
        <v>2736</v>
      </c>
      <c r="K2009" s="6" t="s">
        <v>2735</v>
      </c>
      <c r="L2009" s="70" t="s">
        <v>595</v>
      </c>
      <c r="M2009" s="6" t="s">
        <v>648</v>
      </c>
      <c r="N2009" s="6">
        <v>18</v>
      </c>
      <c r="O2009" s="57">
        <f t="shared" si="53"/>
        <v>3000</v>
      </c>
      <c r="P2009" s="57">
        <v>54000</v>
      </c>
      <c r="Q2009" s="6" t="s">
        <v>519</v>
      </c>
      <c r="R2009" s="6" t="s">
        <v>519</v>
      </c>
      <c r="S2009" s="104" t="s">
        <v>1025</v>
      </c>
      <c r="T2009" s="6">
        <v>100</v>
      </c>
    </row>
    <row r="2010" spans="1:20" s="31" customFormat="1" ht="25.5">
      <c r="A2010" s="30"/>
      <c r="B2010" s="6">
        <v>1994</v>
      </c>
      <c r="C2010" s="6" t="s">
        <v>714</v>
      </c>
      <c r="D2010" s="52" t="s">
        <v>715</v>
      </c>
      <c r="E2010" s="96" t="s">
        <v>2739</v>
      </c>
      <c r="F2010" s="6" t="s">
        <v>2740</v>
      </c>
      <c r="G2010" s="70" t="s">
        <v>2740</v>
      </c>
      <c r="H2010" s="6" t="s">
        <v>2741</v>
      </c>
      <c r="I2010" s="70" t="s">
        <v>2742</v>
      </c>
      <c r="J2010" s="6" t="s">
        <v>2743</v>
      </c>
      <c r="K2010" s="6" t="s">
        <v>2744</v>
      </c>
      <c r="L2010" s="70" t="s">
        <v>595</v>
      </c>
      <c r="M2010" s="6" t="s">
        <v>648</v>
      </c>
      <c r="N2010" s="6">
        <v>9</v>
      </c>
      <c r="O2010" s="57">
        <f>P2010/N2010</f>
        <v>295</v>
      </c>
      <c r="P2010" s="57">
        <v>2655</v>
      </c>
      <c r="Q2010" s="6" t="s">
        <v>519</v>
      </c>
      <c r="R2010" s="6" t="s">
        <v>519</v>
      </c>
      <c r="S2010" s="104" t="s">
        <v>1025</v>
      </c>
      <c r="T2010" s="6">
        <v>100</v>
      </c>
    </row>
    <row r="2011" spans="1:20" s="31" customFormat="1" ht="38.25">
      <c r="A2011" s="30"/>
      <c r="B2011" s="6">
        <v>1995</v>
      </c>
      <c r="C2011" s="6" t="s">
        <v>714</v>
      </c>
      <c r="D2011" s="52" t="s">
        <v>715</v>
      </c>
      <c r="E2011" s="96" t="s">
        <v>2745</v>
      </c>
      <c r="F2011" s="6" t="s">
        <v>2746</v>
      </c>
      <c r="G2011" s="70" t="s">
        <v>2747</v>
      </c>
      <c r="H2011" s="6" t="s">
        <v>2748</v>
      </c>
      <c r="I2011" s="70" t="s">
        <v>471</v>
      </c>
      <c r="J2011" s="6" t="s">
        <v>2749</v>
      </c>
      <c r="K2011" s="6" t="s">
        <v>2750</v>
      </c>
      <c r="L2011" s="70" t="s">
        <v>595</v>
      </c>
      <c r="M2011" s="6" t="s">
        <v>648</v>
      </c>
      <c r="N2011" s="6">
        <v>3</v>
      </c>
      <c r="O2011" s="57">
        <f t="shared" ref="O2011" si="55">P2011/N2011</f>
        <v>313</v>
      </c>
      <c r="P2011" s="57">
        <v>939</v>
      </c>
      <c r="Q2011" s="6" t="s">
        <v>519</v>
      </c>
      <c r="R2011" s="6" t="s">
        <v>519</v>
      </c>
      <c r="S2011" s="104" t="s">
        <v>1025</v>
      </c>
      <c r="T2011" s="6">
        <v>100</v>
      </c>
    </row>
    <row r="2012" spans="1:20" s="31" customFormat="1" ht="102">
      <c r="A2012" s="30"/>
      <c r="B2012" s="6">
        <v>1996</v>
      </c>
      <c r="C2012" s="6" t="s">
        <v>714</v>
      </c>
      <c r="D2012" s="43" t="s">
        <v>601</v>
      </c>
      <c r="E2012" s="6" t="s">
        <v>2402</v>
      </c>
      <c r="F2012" s="6" t="s">
        <v>2403</v>
      </c>
      <c r="G2012" s="6" t="s">
        <v>2404</v>
      </c>
      <c r="H2012" s="6" t="s">
        <v>2405</v>
      </c>
      <c r="I2012" s="6" t="s">
        <v>2406</v>
      </c>
      <c r="J2012" s="6" t="s">
        <v>2403</v>
      </c>
      <c r="K2012" s="6" t="s">
        <v>2404</v>
      </c>
      <c r="L2012" s="70" t="s">
        <v>595</v>
      </c>
      <c r="M2012" s="6" t="s">
        <v>2407</v>
      </c>
      <c r="N2012" s="6">
        <v>1</v>
      </c>
      <c r="O2012" s="57">
        <f>P2012/N2012</f>
        <v>25496</v>
      </c>
      <c r="P2012" s="57">
        <v>25496</v>
      </c>
      <c r="Q2012" s="6" t="s">
        <v>519</v>
      </c>
      <c r="R2012" s="6" t="s">
        <v>519</v>
      </c>
      <c r="S2012" s="104" t="s">
        <v>1025</v>
      </c>
      <c r="T2012" s="6">
        <v>30</v>
      </c>
    </row>
    <row r="2013" spans="1:20" s="31" customFormat="1" ht="51">
      <c r="A2013" s="30"/>
      <c r="B2013" s="6">
        <v>1997</v>
      </c>
      <c r="C2013" s="6" t="s">
        <v>714</v>
      </c>
      <c r="D2013" s="49" t="s">
        <v>601</v>
      </c>
      <c r="E2013" s="12" t="s">
        <v>2845</v>
      </c>
      <c r="F2013" s="6" t="s">
        <v>2847</v>
      </c>
      <c r="G2013" s="93" t="s">
        <v>2846</v>
      </c>
      <c r="H2013" s="6" t="s">
        <v>2847</v>
      </c>
      <c r="I2013" s="93" t="s">
        <v>2846</v>
      </c>
      <c r="J2013" s="6" t="s">
        <v>2848</v>
      </c>
      <c r="K2013" s="6" t="s">
        <v>2792</v>
      </c>
      <c r="L2013" s="6" t="s">
        <v>595</v>
      </c>
      <c r="M2013" s="6" t="s">
        <v>918</v>
      </c>
      <c r="N2013" s="6">
        <v>1</v>
      </c>
      <c r="O2013" s="57">
        <f t="shared" ref="O2013" si="56">P2013/N2013</f>
        <v>3500000</v>
      </c>
      <c r="P2013" s="57">
        <v>3500000</v>
      </c>
      <c r="Q2013" s="6" t="s">
        <v>505</v>
      </c>
      <c r="R2013" s="6" t="s">
        <v>770</v>
      </c>
      <c r="S2013" s="6">
        <v>751110000</v>
      </c>
      <c r="T2013" s="6">
        <v>30</v>
      </c>
    </row>
    <row r="2014" spans="1:20" s="31" customFormat="1" ht="123" customHeight="1">
      <c r="A2014" s="30"/>
      <c r="B2014" s="6">
        <v>1998</v>
      </c>
      <c r="C2014" s="6" t="s">
        <v>714</v>
      </c>
      <c r="D2014" s="49" t="s">
        <v>601</v>
      </c>
      <c r="E2014" s="127" t="s">
        <v>946</v>
      </c>
      <c r="F2014" s="26" t="s">
        <v>1159</v>
      </c>
      <c r="G2014" s="127" t="s">
        <v>947</v>
      </c>
      <c r="H2014" s="26" t="s">
        <v>1977</v>
      </c>
      <c r="I2014" s="127" t="s">
        <v>948</v>
      </c>
      <c r="J2014" s="26" t="s">
        <v>2849</v>
      </c>
      <c r="K2014" s="26" t="s">
        <v>2793</v>
      </c>
      <c r="L2014" s="26" t="s">
        <v>595</v>
      </c>
      <c r="M2014" s="26" t="s">
        <v>918</v>
      </c>
      <c r="N2014" s="26">
        <v>1</v>
      </c>
      <c r="O2014" s="10">
        <f>P2014/N2014</f>
        <v>1607143</v>
      </c>
      <c r="P2014" s="10">
        <v>1607143</v>
      </c>
      <c r="Q2014" s="128" t="s">
        <v>616</v>
      </c>
      <c r="R2014" s="6" t="s">
        <v>770</v>
      </c>
      <c r="S2014" s="6">
        <v>751110000</v>
      </c>
      <c r="T2014" s="26">
        <v>0</v>
      </c>
    </row>
    <row r="2015" spans="1:20" ht="51" outlineLevel="1">
      <c r="B2015" s="6">
        <v>1999</v>
      </c>
      <c r="C2015" s="16" t="s">
        <v>714</v>
      </c>
      <c r="D2015" s="6" t="s">
        <v>601</v>
      </c>
      <c r="E2015" s="6" t="s">
        <v>552</v>
      </c>
      <c r="F2015" s="70" t="s">
        <v>553</v>
      </c>
      <c r="G2015" s="70" t="s">
        <v>554</v>
      </c>
      <c r="H2015" s="70" t="s">
        <v>553</v>
      </c>
      <c r="I2015" s="70" t="s">
        <v>554</v>
      </c>
      <c r="J2015" s="70" t="s">
        <v>553</v>
      </c>
      <c r="K2015" s="70" t="s">
        <v>554</v>
      </c>
      <c r="L2015" s="70" t="s">
        <v>595</v>
      </c>
      <c r="M2015" s="12" t="s">
        <v>918</v>
      </c>
      <c r="N2015" s="26">
        <v>1</v>
      </c>
      <c r="O2015" s="57">
        <f>P2015/N2015</f>
        <v>1000000</v>
      </c>
      <c r="P2015" s="62">
        <v>1000000</v>
      </c>
      <c r="Q2015" s="6" t="s">
        <v>616</v>
      </c>
      <c r="R2015" s="6" t="s">
        <v>2794</v>
      </c>
      <c r="S2015" s="38">
        <v>710000000</v>
      </c>
      <c r="T2015" s="26">
        <v>0</v>
      </c>
    </row>
    <row r="2016" spans="1:20" ht="76.5" outlineLevel="1">
      <c r="B2016" s="6">
        <v>2000</v>
      </c>
      <c r="C2016" s="16" t="s">
        <v>714</v>
      </c>
      <c r="D2016" s="6" t="s">
        <v>601</v>
      </c>
      <c r="E2016" s="6" t="s">
        <v>555</v>
      </c>
      <c r="F2016" s="70" t="s">
        <v>556</v>
      </c>
      <c r="G2016" s="70" t="s">
        <v>557</v>
      </c>
      <c r="H2016" s="70" t="s">
        <v>558</v>
      </c>
      <c r="I2016" s="70" t="s">
        <v>559</v>
      </c>
      <c r="J2016" s="70" t="s">
        <v>558</v>
      </c>
      <c r="K2016" s="70" t="s">
        <v>559</v>
      </c>
      <c r="L2016" s="70" t="s">
        <v>595</v>
      </c>
      <c r="M2016" s="12" t="s">
        <v>918</v>
      </c>
      <c r="N2016" s="26">
        <v>1</v>
      </c>
      <c r="O2016" s="57">
        <f>P2016/N2016</f>
        <v>1500000</v>
      </c>
      <c r="P2016" s="62">
        <v>1500000</v>
      </c>
      <c r="Q2016" s="6" t="s">
        <v>616</v>
      </c>
      <c r="R2016" s="6" t="s">
        <v>2794</v>
      </c>
      <c r="S2016" s="38">
        <v>710000000</v>
      </c>
      <c r="T2016" s="26">
        <v>0</v>
      </c>
    </row>
    <row r="2017" spans="1:20" ht="89.25" outlineLevel="1">
      <c r="B2017" s="6">
        <v>2001</v>
      </c>
      <c r="C2017" s="16" t="s">
        <v>714</v>
      </c>
      <c r="D2017" s="6" t="s">
        <v>601</v>
      </c>
      <c r="E2017" s="6" t="s">
        <v>560</v>
      </c>
      <c r="F2017" s="70" t="s">
        <v>561</v>
      </c>
      <c r="G2017" s="70" t="s">
        <v>562</v>
      </c>
      <c r="H2017" s="70" t="s">
        <v>563</v>
      </c>
      <c r="I2017" s="70" t="s">
        <v>564</v>
      </c>
      <c r="J2017" s="70" t="s">
        <v>563</v>
      </c>
      <c r="K2017" s="70" t="s">
        <v>564</v>
      </c>
      <c r="L2017" s="70" t="s">
        <v>595</v>
      </c>
      <c r="M2017" s="12" t="s">
        <v>918</v>
      </c>
      <c r="N2017" s="26">
        <v>1</v>
      </c>
      <c r="O2017" s="57">
        <f>P2017/N2017</f>
        <v>550000</v>
      </c>
      <c r="P2017" s="62">
        <v>550000</v>
      </c>
      <c r="Q2017" s="6" t="s">
        <v>616</v>
      </c>
      <c r="R2017" s="6" t="s">
        <v>2794</v>
      </c>
      <c r="S2017" s="38">
        <v>710000000</v>
      </c>
      <c r="T2017" s="26">
        <v>0</v>
      </c>
    </row>
    <row r="2018" spans="1:20" s="8" customFormat="1" ht="76.5">
      <c r="A2018" s="4"/>
      <c r="B2018" s="6">
        <v>2002</v>
      </c>
      <c r="C2018" s="16" t="s">
        <v>714</v>
      </c>
      <c r="D2018" s="6" t="s">
        <v>1469</v>
      </c>
      <c r="E2018" s="6" t="s">
        <v>2795</v>
      </c>
      <c r="F2018" s="6" t="s">
        <v>2797</v>
      </c>
      <c r="G2018" s="6" t="s">
        <v>2796</v>
      </c>
      <c r="H2018" s="6" t="s">
        <v>2799</v>
      </c>
      <c r="I2018" s="38" t="s">
        <v>2798</v>
      </c>
      <c r="J2018" s="6" t="s">
        <v>2850</v>
      </c>
      <c r="K2018" s="38" t="s">
        <v>2800</v>
      </c>
      <c r="L2018" s="6" t="s">
        <v>595</v>
      </c>
      <c r="M2018" s="5" t="s">
        <v>1469</v>
      </c>
      <c r="N2018" s="7">
        <v>1</v>
      </c>
      <c r="O2018" s="85">
        <f t="shared" ref="O2018" si="57">P2018</f>
        <v>1487000</v>
      </c>
      <c r="P2018" s="85">
        <v>1487000</v>
      </c>
      <c r="Q2018" s="6" t="s">
        <v>616</v>
      </c>
      <c r="R2018" s="6" t="s">
        <v>2436</v>
      </c>
      <c r="S2018" s="38" t="s">
        <v>1179</v>
      </c>
      <c r="T2018" s="6">
        <v>50</v>
      </c>
    </row>
    <row r="2019" spans="1:20" s="8" customFormat="1" ht="63.75">
      <c r="A2019" s="4"/>
      <c r="B2019" s="6">
        <v>2003</v>
      </c>
      <c r="C2019" s="16" t="s">
        <v>714</v>
      </c>
      <c r="D2019" s="6" t="s">
        <v>715</v>
      </c>
      <c r="E2019" s="16" t="s">
        <v>2851</v>
      </c>
      <c r="F2019" s="38" t="s">
        <v>2853</v>
      </c>
      <c r="G2019" s="38" t="s">
        <v>2811</v>
      </c>
      <c r="H2019" s="6" t="s">
        <v>2854</v>
      </c>
      <c r="I2019" s="38" t="s">
        <v>2852</v>
      </c>
      <c r="J2019" s="38" t="s">
        <v>2855</v>
      </c>
      <c r="K2019" s="38" t="s">
        <v>2812</v>
      </c>
      <c r="L2019" s="6" t="s">
        <v>595</v>
      </c>
      <c r="M2019" s="38" t="s">
        <v>648</v>
      </c>
      <c r="N2019" s="7">
        <v>3</v>
      </c>
      <c r="O2019" s="85">
        <f>P2019/N2019</f>
        <v>2680</v>
      </c>
      <c r="P2019" s="85">
        <v>8040</v>
      </c>
      <c r="Q2019" s="6" t="s">
        <v>616</v>
      </c>
      <c r="R2019" s="6" t="s">
        <v>616</v>
      </c>
      <c r="S2019" s="38" t="s">
        <v>1179</v>
      </c>
      <c r="T2019" s="6">
        <v>100</v>
      </c>
    </row>
    <row r="2020" spans="1:20" s="31" customFormat="1" ht="25.5">
      <c r="A2020" s="30"/>
      <c r="B2020" s="6">
        <v>2004</v>
      </c>
      <c r="C2020" s="6" t="s">
        <v>714</v>
      </c>
      <c r="D2020" s="49" t="s">
        <v>715</v>
      </c>
      <c r="E2020" s="6" t="s">
        <v>2732</v>
      </c>
      <c r="F2020" s="6" t="s">
        <v>2733</v>
      </c>
      <c r="G2020" s="6" t="s">
        <v>2734</v>
      </c>
      <c r="H2020" s="6" t="s">
        <v>2737</v>
      </c>
      <c r="I2020" s="6" t="s">
        <v>2738</v>
      </c>
      <c r="J2020" s="6" t="s">
        <v>2815</v>
      </c>
      <c r="K2020" s="6" t="s">
        <v>2738</v>
      </c>
      <c r="L2020" s="70" t="s">
        <v>595</v>
      </c>
      <c r="M2020" s="6" t="s">
        <v>648</v>
      </c>
      <c r="N2020" s="6">
        <v>2</v>
      </c>
      <c r="O2020" s="57">
        <f>P2020/N2020</f>
        <v>55760</v>
      </c>
      <c r="P2020" s="57">
        <v>111520</v>
      </c>
      <c r="Q2020" s="6" t="s">
        <v>616</v>
      </c>
      <c r="R2020" s="6" t="s">
        <v>616</v>
      </c>
      <c r="S2020" s="38" t="s">
        <v>1179</v>
      </c>
      <c r="T2020" s="6">
        <v>100</v>
      </c>
    </row>
    <row r="2021" spans="1:20" s="31" customFormat="1" ht="25.5">
      <c r="A2021" s="30"/>
      <c r="B2021" s="6">
        <v>2005</v>
      </c>
      <c r="C2021" s="6" t="s">
        <v>714</v>
      </c>
      <c r="D2021" s="49" t="s">
        <v>715</v>
      </c>
      <c r="E2021" s="6"/>
      <c r="F2021" s="6" t="s">
        <v>2817</v>
      </c>
      <c r="G2021" s="6" t="s">
        <v>2817</v>
      </c>
      <c r="H2021" s="6" t="s">
        <v>2856</v>
      </c>
      <c r="I2021" s="6" t="s">
        <v>2857</v>
      </c>
      <c r="J2021" s="6" t="s">
        <v>2858</v>
      </c>
      <c r="K2021" s="6" t="s">
        <v>2816</v>
      </c>
      <c r="L2021" s="70" t="s">
        <v>595</v>
      </c>
      <c r="M2021" s="6" t="s">
        <v>648</v>
      </c>
      <c r="N2021" s="6">
        <v>1</v>
      </c>
      <c r="O2021" s="57">
        <f t="shared" ref="O2021" si="58">P2021/N2021</f>
        <v>14000</v>
      </c>
      <c r="P2021" s="57">
        <v>14000</v>
      </c>
      <c r="Q2021" s="6" t="s">
        <v>616</v>
      </c>
      <c r="R2021" s="6" t="s">
        <v>616</v>
      </c>
      <c r="S2021" s="38" t="s">
        <v>1179</v>
      </c>
      <c r="T2021" s="6">
        <v>100</v>
      </c>
    </row>
    <row r="2022" spans="1:20" s="31" customFormat="1" ht="63.75">
      <c r="A2022" s="30"/>
      <c r="B2022" s="6">
        <v>2006</v>
      </c>
      <c r="C2022" s="6" t="s">
        <v>714</v>
      </c>
      <c r="D2022" s="49" t="s">
        <v>715</v>
      </c>
      <c r="E2022" s="6" t="s">
        <v>2818</v>
      </c>
      <c r="F2022" s="6" t="s">
        <v>2859</v>
      </c>
      <c r="G2022" s="6" t="s">
        <v>2819</v>
      </c>
      <c r="H2022" s="6" t="s">
        <v>2861</v>
      </c>
      <c r="I2022" s="6" t="s">
        <v>2860</v>
      </c>
      <c r="J2022" s="6" t="s">
        <v>2862</v>
      </c>
      <c r="K2022" s="6" t="s">
        <v>2820</v>
      </c>
      <c r="L2022" s="70" t="s">
        <v>595</v>
      </c>
      <c r="M2022" s="6" t="s">
        <v>648</v>
      </c>
      <c r="N2022" s="6">
        <v>1</v>
      </c>
      <c r="O2022" s="57">
        <f>P2022/N2022</f>
        <v>18800</v>
      </c>
      <c r="P2022" s="57">
        <v>18800</v>
      </c>
      <c r="Q2022" s="6" t="s">
        <v>616</v>
      </c>
      <c r="R2022" s="6" t="s">
        <v>616</v>
      </c>
      <c r="S2022" s="38" t="s">
        <v>1179</v>
      </c>
      <c r="T2022" s="6">
        <v>100</v>
      </c>
    </row>
    <row r="2023" spans="1:20" s="8" customFormat="1" ht="51">
      <c r="A2023" s="4"/>
      <c r="B2023" s="6">
        <v>2007</v>
      </c>
      <c r="C2023" s="16" t="s">
        <v>714</v>
      </c>
      <c r="D2023" s="6" t="s">
        <v>715</v>
      </c>
      <c r="E2023" s="6" t="s">
        <v>2821</v>
      </c>
      <c r="F2023" s="6" t="s">
        <v>2822</v>
      </c>
      <c r="G2023" s="6" t="s">
        <v>2823</v>
      </c>
      <c r="H2023" s="6" t="s">
        <v>2824</v>
      </c>
      <c r="I2023" s="6" t="s">
        <v>2825</v>
      </c>
      <c r="J2023" s="6" t="s">
        <v>2863</v>
      </c>
      <c r="K2023" s="38" t="s">
        <v>2826</v>
      </c>
      <c r="L2023" s="6" t="s">
        <v>595</v>
      </c>
      <c r="M2023" s="6" t="s">
        <v>1484</v>
      </c>
      <c r="N2023" s="38">
        <v>80</v>
      </c>
      <c r="O2023" s="125">
        <f t="shared" ref="O2023" si="59">P2023/N2023</f>
        <v>3381</v>
      </c>
      <c r="P2023" s="125">
        <v>270480</v>
      </c>
      <c r="Q2023" s="5" t="s">
        <v>616</v>
      </c>
      <c r="R2023" s="6" t="s">
        <v>2503</v>
      </c>
      <c r="S2023" s="38" t="s">
        <v>1179</v>
      </c>
      <c r="T2023" s="6">
        <v>100</v>
      </c>
    </row>
    <row r="2024" spans="1:20" s="8" customFormat="1" ht="60.75" customHeight="1">
      <c r="A2024" s="4"/>
      <c r="B2024" s="6">
        <v>2008</v>
      </c>
      <c r="C2024" s="16" t="s">
        <v>714</v>
      </c>
      <c r="D2024" s="6" t="s">
        <v>715</v>
      </c>
      <c r="E2024" s="6" t="s">
        <v>2829</v>
      </c>
      <c r="F2024" s="6" t="s">
        <v>2828</v>
      </c>
      <c r="G2024" s="6" t="s">
        <v>2828</v>
      </c>
      <c r="H2024" s="6" t="s">
        <v>2865</v>
      </c>
      <c r="I2024" s="6" t="s">
        <v>2864</v>
      </c>
      <c r="J2024" s="6" t="s">
        <v>2866</v>
      </c>
      <c r="K2024" s="38" t="s">
        <v>2827</v>
      </c>
      <c r="L2024" s="6" t="s">
        <v>595</v>
      </c>
      <c r="M2024" s="6" t="s">
        <v>648</v>
      </c>
      <c r="N2024" s="38">
        <v>5</v>
      </c>
      <c r="O2024" s="125">
        <f t="shared" ref="O2024" si="60">P2024/N2024</f>
        <v>12100</v>
      </c>
      <c r="P2024" s="125">
        <v>60500</v>
      </c>
      <c r="Q2024" s="5" t="s">
        <v>616</v>
      </c>
      <c r="R2024" s="6" t="s">
        <v>616</v>
      </c>
      <c r="S2024" s="38" t="s">
        <v>1179</v>
      </c>
      <c r="T2024" s="6">
        <v>100</v>
      </c>
    </row>
    <row r="2025" spans="1:20" s="8" customFormat="1" ht="63.75">
      <c r="A2025" s="4"/>
      <c r="B2025" s="6">
        <v>2009</v>
      </c>
      <c r="C2025" s="16" t="s">
        <v>714</v>
      </c>
      <c r="D2025" s="6" t="s">
        <v>715</v>
      </c>
      <c r="E2025" s="16" t="s">
        <v>2814</v>
      </c>
      <c r="F2025" s="69" t="s">
        <v>2868</v>
      </c>
      <c r="G2025" s="38" t="s">
        <v>2830</v>
      </c>
      <c r="H2025" s="6" t="s">
        <v>2869</v>
      </c>
      <c r="I2025" s="38" t="s">
        <v>2867</v>
      </c>
      <c r="J2025" s="38" t="s">
        <v>2870</v>
      </c>
      <c r="K2025" s="38" t="s">
        <v>2813</v>
      </c>
      <c r="L2025" s="6" t="s">
        <v>595</v>
      </c>
      <c r="M2025" s="38" t="s">
        <v>648</v>
      </c>
      <c r="N2025" s="7">
        <v>55</v>
      </c>
      <c r="O2025" s="85">
        <f t="shared" ref="O2025:O2037" si="61">P2025/N2025</f>
        <v>5780</v>
      </c>
      <c r="P2025" s="85">
        <v>317900</v>
      </c>
      <c r="Q2025" s="6" t="s">
        <v>616</v>
      </c>
      <c r="R2025" s="6" t="s">
        <v>616</v>
      </c>
      <c r="S2025" s="38" t="s">
        <v>1179</v>
      </c>
      <c r="T2025" s="6">
        <v>50</v>
      </c>
    </row>
    <row r="2026" spans="1:20" s="14" customFormat="1" ht="51">
      <c r="A2026" s="17"/>
      <c r="B2026" s="6">
        <v>2010</v>
      </c>
      <c r="C2026" s="16" t="s">
        <v>714</v>
      </c>
      <c r="D2026" s="6" t="s">
        <v>715</v>
      </c>
      <c r="E2026" s="6" t="s">
        <v>984</v>
      </c>
      <c r="F2026" s="70" t="s">
        <v>734</v>
      </c>
      <c r="G2026" s="70" t="s">
        <v>2446</v>
      </c>
      <c r="H2026" s="70" t="s">
        <v>2801</v>
      </c>
      <c r="I2026" s="70" t="s">
        <v>2802</v>
      </c>
      <c r="J2026" s="70" t="s">
        <v>2871</v>
      </c>
      <c r="K2026" s="70" t="s">
        <v>2803</v>
      </c>
      <c r="L2026" s="70" t="s">
        <v>595</v>
      </c>
      <c r="M2026" s="38" t="s">
        <v>648</v>
      </c>
      <c r="N2026" s="26">
        <v>1</v>
      </c>
      <c r="O2026" s="57">
        <f t="shared" si="61"/>
        <v>384000</v>
      </c>
      <c r="P2026" s="62">
        <v>384000</v>
      </c>
      <c r="Q2026" s="6" t="s">
        <v>616</v>
      </c>
      <c r="R2026" s="6" t="s">
        <v>2503</v>
      </c>
      <c r="S2026" s="38" t="s">
        <v>1179</v>
      </c>
      <c r="T2026" s="26">
        <v>50</v>
      </c>
    </row>
    <row r="2027" spans="1:20" s="8" customFormat="1" ht="51">
      <c r="A2027" s="4"/>
      <c r="B2027" s="6">
        <v>2011</v>
      </c>
      <c r="C2027" s="16" t="s">
        <v>714</v>
      </c>
      <c r="D2027" s="6" t="s">
        <v>715</v>
      </c>
      <c r="E2027" s="16" t="s">
        <v>2804</v>
      </c>
      <c r="F2027" s="69" t="s">
        <v>734</v>
      </c>
      <c r="G2027" s="38" t="s">
        <v>735</v>
      </c>
      <c r="H2027" s="38" t="s">
        <v>2805</v>
      </c>
      <c r="I2027" s="38" t="s">
        <v>2806</v>
      </c>
      <c r="J2027" s="38" t="s">
        <v>2872</v>
      </c>
      <c r="K2027" s="38" t="s">
        <v>2807</v>
      </c>
      <c r="L2027" s="6" t="s">
        <v>595</v>
      </c>
      <c r="M2027" s="38" t="s">
        <v>648</v>
      </c>
      <c r="N2027" s="7">
        <v>1</v>
      </c>
      <c r="O2027" s="85">
        <f t="shared" si="61"/>
        <v>83100</v>
      </c>
      <c r="P2027" s="85">
        <v>83100</v>
      </c>
      <c r="Q2027" s="6" t="s">
        <v>616</v>
      </c>
      <c r="R2027" s="6" t="s">
        <v>2503</v>
      </c>
      <c r="S2027" s="38" t="s">
        <v>1179</v>
      </c>
      <c r="T2027" s="6">
        <v>50</v>
      </c>
    </row>
    <row r="2028" spans="1:20" s="8" customFormat="1" ht="170.25" customHeight="1">
      <c r="A2028" s="4"/>
      <c r="B2028" s="6">
        <v>2012</v>
      </c>
      <c r="C2028" s="16" t="s">
        <v>714</v>
      </c>
      <c r="D2028" s="6" t="s">
        <v>715</v>
      </c>
      <c r="E2028" s="16" t="s">
        <v>2808</v>
      </c>
      <c r="F2028" s="38" t="s">
        <v>724</v>
      </c>
      <c r="G2028" s="38" t="s">
        <v>724</v>
      </c>
      <c r="H2028" s="38" t="s">
        <v>2873</v>
      </c>
      <c r="I2028" s="38" t="s">
        <v>2810</v>
      </c>
      <c r="J2028" s="38" t="s">
        <v>2874</v>
      </c>
      <c r="K2028" s="38" t="s">
        <v>2809</v>
      </c>
      <c r="L2028" s="6" t="s">
        <v>595</v>
      </c>
      <c r="M2028" s="38" t="s">
        <v>648</v>
      </c>
      <c r="N2028" s="7">
        <v>1</v>
      </c>
      <c r="O2028" s="85">
        <f t="shared" si="61"/>
        <v>195500</v>
      </c>
      <c r="P2028" s="85">
        <v>195500</v>
      </c>
      <c r="Q2028" s="6" t="s">
        <v>616</v>
      </c>
      <c r="R2028" s="6" t="s">
        <v>2503</v>
      </c>
      <c r="S2028" s="38" t="s">
        <v>1179</v>
      </c>
      <c r="T2028" s="6">
        <v>50</v>
      </c>
    </row>
    <row r="2029" spans="1:20" s="8" customFormat="1" ht="151.5" customHeight="1">
      <c r="A2029" s="4"/>
      <c r="B2029" s="6">
        <v>2013</v>
      </c>
      <c r="C2029" s="16" t="s">
        <v>714</v>
      </c>
      <c r="D2029" s="6" t="s">
        <v>715</v>
      </c>
      <c r="E2029" s="16" t="s">
        <v>2831</v>
      </c>
      <c r="F2029" s="6" t="s">
        <v>2876</v>
      </c>
      <c r="G2029" s="38" t="s">
        <v>2832</v>
      </c>
      <c r="H2029" s="38" t="s">
        <v>2890</v>
      </c>
      <c r="I2029" s="38" t="s">
        <v>2875</v>
      </c>
      <c r="J2029" s="6" t="s">
        <v>2876</v>
      </c>
      <c r="K2029" s="38" t="s">
        <v>2832</v>
      </c>
      <c r="L2029" s="6" t="s">
        <v>595</v>
      </c>
      <c r="M2029" s="38" t="s">
        <v>648</v>
      </c>
      <c r="N2029" s="7">
        <v>1</v>
      </c>
      <c r="O2029" s="85">
        <f t="shared" si="61"/>
        <v>5500</v>
      </c>
      <c r="P2029" s="85">
        <v>5500</v>
      </c>
      <c r="Q2029" s="6" t="s">
        <v>616</v>
      </c>
      <c r="R2029" s="6" t="s">
        <v>2833</v>
      </c>
      <c r="S2029" s="38" t="s">
        <v>793</v>
      </c>
      <c r="T2029" s="6">
        <v>100</v>
      </c>
    </row>
    <row r="2030" spans="1:20" s="8" customFormat="1" ht="38.25">
      <c r="A2030" s="4"/>
      <c r="B2030" s="6">
        <v>2014</v>
      </c>
      <c r="C2030" s="16" t="s">
        <v>714</v>
      </c>
      <c r="D2030" s="6" t="s">
        <v>715</v>
      </c>
      <c r="E2030" s="16" t="s">
        <v>2834</v>
      </c>
      <c r="F2030" s="8" t="s">
        <v>2906</v>
      </c>
      <c r="G2030" s="38" t="s">
        <v>2835</v>
      </c>
      <c r="H2030" s="5" t="s">
        <v>2877</v>
      </c>
      <c r="I2030" s="38" t="s">
        <v>2878</v>
      </c>
      <c r="J2030" s="8" t="s">
        <v>2906</v>
      </c>
      <c r="K2030" s="38" t="s">
        <v>2835</v>
      </c>
      <c r="L2030" s="6" t="s">
        <v>595</v>
      </c>
      <c r="M2030" s="38" t="s">
        <v>648</v>
      </c>
      <c r="N2030" s="7">
        <v>2</v>
      </c>
      <c r="O2030" s="85">
        <f t="shared" si="61"/>
        <v>3000</v>
      </c>
      <c r="P2030" s="85">
        <v>6000</v>
      </c>
      <c r="Q2030" s="6" t="s">
        <v>616</v>
      </c>
      <c r="R2030" s="6" t="s">
        <v>2833</v>
      </c>
      <c r="S2030" s="38" t="s">
        <v>793</v>
      </c>
      <c r="T2030" s="6">
        <v>100</v>
      </c>
    </row>
    <row r="2031" spans="1:20" s="8" customFormat="1" ht="63.75">
      <c r="A2031" s="4"/>
      <c r="B2031" s="6">
        <v>2015</v>
      </c>
      <c r="C2031" s="16" t="s">
        <v>714</v>
      </c>
      <c r="D2031" s="6" t="s">
        <v>601</v>
      </c>
      <c r="E2031" s="16" t="s">
        <v>2836</v>
      </c>
      <c r="F2031" s="6" t="s">
        <v>2881</v>
      </c>
      <c r="G2031" s="38" t="s">
        <v>2880</v>
      </c>
      <c r="H2031" s="6" t="s">
        <v>2881</v>
      </c>
      <c r="I2031" s="38" t="s">
        <v>2880</v>
      </c>
      <c r="J2031" s="6" t="s">
        <v>2879</v>
      </c>
      <c r="K2031" s="38" t="s">
        <v>2837</v>
      </c>
      <c r="L2031" s="6" t="s">
        <v>595</v>
      </c>
      <c r="M2031" s="12" t="s">
        <v>918</v>
      </c>
      <c r="N2031" s="7">
        <v>1</v>
      </c>
      <c r="O2031" s="85">
        <f t="shared" si="61"/>
        <v>34643</v>
      </c>
      <c r="P2031" s="85">
        <v>34643</v>
      </c>
      <c r="Q2031" s="6" t="s">
        <v>616</v>
      </c>
      <c r="R2031" s="6" t="s">
        <v>2833</v>
      </c>
      <c r="S2031" s="38" t="s">
        <v>793</v>
      </c>
      <c r="T2031" s="6">
        <v>100</v>
      </c>
    </row>
    <row r="2032" spans="1:20" s="8" customFormat="1" ht="134.25" customHeight="1">
      <c r="A2032" s="4"/>
      <c r="B2032" s="6">
        <v>2016</v>
      </c>
      <c r="C2032" s="16" t="s">
        <v>714</v>
      </c>
      <c r="D2032" s="6" t="s">
        <v>1469</v>
      </c>
      <c r="E2032" s="6" t="s">
        <v>2492</v>
      </c>
      <c r="F2032" s="6" t="s">
        <v>2494</v>
      </c>
      <c r="G2032" s="6" t="s">
        <v>2493</v>
      </c>
      <c r="H2032" s="6" t="s">
        <v>2496</v>
      </c>
      <c r="I2032" s="38" t="s">
        <v>2495</v>
      </c>
      <c r="J2032" s="6" t="s">
        <v>2882</v>
      </c>
      <c r="K2032" s="38" t="s">
        <v>2838</v>
      </c>
      <c r="L2032" s="6" t="s">
        <v>595</v>
      </c>
      <c r="M2032" s="5" t="s">
        <v>1469</v>
      </c>
      <c r="N2032" s="7">
        <v>1</v>
      </c>
      <c r="O2032" s="85">
        <f t="shared" si="61"/>
        <v>2668850</v>
      </c>
      <c r="P2032" s="85">
        <v>2668850</v>
      </c>
      <c r="Q2032" s="6" t="s">
        <v>616</v>
      </c>
      <c r="R2032" s="6" t="s">
        <v>506</v>
      </c>
      <c r="S2032" s="38" t="s">
        <v>793</v>
      </c>
      <c r="T2032" s="6">
        <v>30</v>
      </c>
    </row>
    <row r="2033" spans="1:20" s="8" customFormat="1" ht="153">
      <c r="A2033" s="4"/>
      <c r="B2033" s="6">
        <v>2017</v>
      </c>
      <c r="C2033" s="16" t="s">
        <v>714</v>
      </c>
      <c r="D2033" s="6" t="s">
        <v>715</v>
      </c>
      <c r="E2033" s="16" t="s">
        <v>2839</v>
      </c>
      <c r="F2033" s="6" t="s">
        <v>2885</v>
      </c>
      <c r="G2033" s="38" t="s">
        <v>2840</v>
      </c>
      <c r="H2033" s="38" t="s">
        <v>2884</v>
      </c>
      <c r="I2033" s="38" t="s">
        <v>2883</v>
      </c>
      <c r="J2033" s="38" t="s">
        <v>2886</v>
      </c>
      <c r="K2033" s="38" t="s">
        <v>2841</v>
      </c>
      <c r="L2033" s="6" t="s">
        <v>595</v>
      </c>
      <c r="M2033" s="38" t="s">
        <v>648</v>
      </c>
      <c r="N2033" s="7">
        <v>1</v>
      </c>
      <c r="O2033" s="85">
        <f t="shared" si="61"/>
        <v>30000</v>
      </c>
      <c r="P2033" s="85">
        <v>30000</v>
      </c>
      <c r="Q2033" s="6" t="s">
        <v>616</v>
      </c>
      <c r="R2033" s="6" t="s">
        <v>2833</v>
      </c>
      <c r="S2033" s="38" t="s">
        <v>793</v>
      </c>
      <c r="T2033" s="6">
        <v>100</v>
      </c>
    </row>
    <row r="2034" spans="1:20" s="8" customFormat="1" ht="60.75" customHeight="1">
      <c r="A2034" s="4"/>
      <c r="B2034" s="6">
        <v>2018</v>
      </c>
      <c r="C2034" s="16" t="s">
        <v>714</v>
      </c>
      <c r="D2034" s="6" t="s">
        <v>715</v>
      </c>
      <c r="E2034" s="16" t="s">
        <v>2842</v>
      </c>
      <c r="F2034" s="5" t="s">
        <v>2843</v>
      </c>
      <c r="G2034" s="5" t="s">
        <v>2843</v>
      </c>
      <c r="H2034" s="38" t="s">
        <v>2888</v>
      </c>
      <c r="I2034" s="38" t="s">
        <v>2887</v>
      </c>
      <c r="J2034" s="38" t="s">
        <v>2889</v>
      </c>
      <c r="K2034" s="38" t="s">
        <v>2844</v>
      </c>
      <c r="L2034" s="6" t="s">
        <v>595</v>
      </c>
      <c r="M2034" s="38" t="s">
        <v>648</v>
      </c>
      <c r="N2034" s="7">
        <v>2</v>
      </c>
      <c r="O2034" s="85">
        <f t="shared" si="61"/>
        <v>13500</v>
      </c>
      <c r="P2034" s="85">
        <v>27000</v>
      </c>
      <c r="Q2034" s="6" t="s">
        <v>616</v>
      </c>
      <c r="R2034" s="6" t="s">
        <v>2833</v>
      </c>
      <c r="S2034" s="38" t="s">
        <v>793</v>
      </c>
      <c r="T2034" s="6">
        <v>100</v>
      </c>
    </row>
    <row r="2035" spans="1:20" s="8" customFormat="1" ht="51">
      <c r="A2035" s="4"/>
      <c r="B2035" s="6">
        <v>2019</v>
      </c>
      <c r="C2035" s="16" t="s">
        <v>714</v>
      </c>
      <c r="D2035" s="6" t="s">
        <v>715</v>
      </c>
      <c r="E2035" s="16" t="s">
        <v>2891</v>
      </c>
      <c r="F2035" s="69" t="s">
        <v>2895</v>
      </c>
      <c r="G2035" s="38" t="s">
        <v>2892</v>
      </c>
      <c r="H2035" s="38" t="s">
        <v>2896</v>
      </c>
      <c r="I2035" s="38" t="s">
        <v>2893</v>
      </c>
      <c r="J2035" s="38" t="s">
        <v>2897</v>
      </c>
      <c r="K2035" s="38" t="s">
        <v>2894</v>
      </c>
      <c r="L2035" s="6" t="s">
        <v>595</v>
      </c>
      <c r="M2035" s="38" t="s">
        <v>642</v>
      </c>
      <c r="N2035" s="7">
        <v>24</v>
      </c>
      <c r="O2035" s="85">
        <f t="shared" ref="O2035" si="62">P2035/N2035</f>
        <v>18750</v>
      </c>
      <c r="P2035" s="85">
        <v>450000</v>
      </c>
      <c r="Q2035" s="6" t="s">
        <v>616</v>
      </c>
      <c r="R2035" s="6" t="s">
        <v>2456</v>
      </c>
      <c r="S2035" s="38" t="s">
        <v>1179</v>
      </c>
      <c r="T2035" s="6">
        <v>100</v>
      </c>
    </row>
    <row r="2036" spans="1:20" s="8" customFormat="1" ht="138.75" customHeight="1">
      <c r="A2036" s="4"/>
      <c r="B2036" s="6">
        <v>2020</v>
      </c>
      <c r="C2036" s="16" t="s">
        <v>714</v>
      </c>
      <c r="D2036" s="6" t="s">
        <v>715</v>
      </c>
      <c r="E2036" s="16" t="s">
        <v>2905</v>
      </c>
      <c r="F2036" s="8" t="s">
        <v>2906</v>
      </c>
      <c r="G2036" s="38" t="s">
        <v>2835</v>
      </c>
      <c r="H2036" s="38" t="s">
        <v>2907</v>
      </c>
      <c r="I2036" s="38" t="s">
        <v>2908</v>
      </c>
      <c r="J2036" s="38" t="s">
        <v>2910</v>
      </c>
      <c r="K2036" s="38" t="s">
        <v>2909</v>
      </c>
      <c r="L2036" s="6" t="s">
        <v>595</v>
      </c>
      <c r="M2036" s="38" t="s">
        <v>648</v>
      </c>
      <c r="N2036" s="7">
        <v>1</v>
      </c>
      <c r="O2036" s="85">
        <f t="shared" si="61"/>
        <v>29670</v>
      </c>
      <c r="P2036" s="85">
        <v>29670</v>
      </c>
      <c r="Q2036" s="6" t="s">
        <v>616</v>
      </c>
      <c r="R2036" s="6" t="s">
        <v>616</v>
      </c>
      <c r="S2036" s="38" t="s">
        <v>1179</v>
      </c>
      <c r="T2036" s="6">
        <v>100</v>
      </c>
    </row>
    <row r="2037" spans="1:20" s="8" customFormat="1" ht="76.5">
      <c r="A2037" s="4"/>
      <c r="B2037" s="6">
        <v>2021</v>
      </c>
      <c r="C2037" s="16" t="s">
        <v>714</v>
      </c>
      <c r="D2037" s="6" t="s">
        <v>601</v>
      </c>
      <c r="E2037" s="16" t="s">
        <v>2898</v>
      </c>
      <c r="F2037" s="38" t="s">
        <v>2902</v>
      </c>
      <c r="G2037" s="38" t="s">
        <v>2899</v>
      </c>
      <c r="H2037" s="38" t="s">
        <v>2903</v>
      </c>
      <c r="I2037" s="38" t="s">
        <v>2900</v>
      </c>
      <c r="J2037" s="38" t="s">
        <v>2904</v>
      </c>
      <c r="K2037" s="38" t="s">
        <v>2901</v>
      </c>
      <c r="L2037" s="6" t="s">
        <v>595</v>
      </c>
      <c r="M2037" s="38" t="s">
        <v>918</v>
      </c>
      <c r="N2037" s="7">
        <v>1</v>
      </c>
      <c r="O2037" s="85">
        <f t="shared" si="61"/>
        <v>300000</v>
      </c>
      <c r="P2037" s="85">
        <v>300000</v>
      </c>
      <c r="Q2037" s="6" t="s">
        <v>616</v>
      </c>
      <c r="R2037" s="6" t="s">
        <v>616</v>
      </c>
      <c r="S2037" s="38">
        <v>751110000</v>
      </c>
      <c r="T2037" s="6">
        <v>100</v>
      </c>
    </row>
    <row r="2038" spans="1:20" s="8" customFormat="1" ht="76.5">
      <c r="A2038" s="4"/>
      <c r="B2038" s="6">
        <v>2022</v>
      </c>
      <c r="C2038" s="16" t="s">
        <v>714</v>
      </c>
      <c r="D2038" s="6" t="s">
        <v>601</v>
      </c>
      <c r="E2038" s="16" t="s">
        <v>1264</v>
      </c>
      <c r="F2038" s="38" t="s">
        <v>1987</v>
      </c>
      <c r="G2038" s="38" t="s">
        <v>1265</v>
      </c>
      <c r="H2038" s="38" t="s">
        <v>1987</v>
      </c>
      <c r="I2038" s="38" t="s">
        <v>1265</v>
      </c>
      <c r="J2038" s="38" t="s">
        <v>2912</v>
      </c>
      <c r="K2038" s="38" t="s">
        <v>2911</v>
      </c>
      <c r="L2038" s="6" t="s">
        <v>595</v>
      </c>
      <c r="M2038" s="38" t="s">
        <v>918</v>
      </c>
      <c r="N2038" s="7">
        <v>1</v>
      </c>
      <c r="O2038" s="85">
        <f t="shared" ref="O2038" si="63">P2038/N2038</f>
        <v>1382151</v>
      </c>
      <c r="P2038" s="85">
        <v>1382151</v>
      </c>
      <c r="Q2038" s="6" t="s">
        <v>616</v>
      </c>
      <c r="R2038" s="6" t="s">
        <v>770</v>
      </c>
      <c r="S2038" s="38">
        <v>751110000</v>
      </c>
      <c r="T2038" s="6">
        <v>50</v>
      </c>
    </row>
    <row r="2039" spans="1:20" s="39" customFormat="1" ht="133.5" customHeight="1">
      <c r="B2039" s="6">
        <v>2023</v>
      </c>
      <c r="C2039" s="16" t="s">
        <v>714</v>
      </c>
      <c r="D2039" s="37" t="s">
        <v>715</v>
      </c>
      <c r="E2039" s="6" t="s">
        <v>2379</v>
      </c>
      <c r="F2039" s="70" t="s">
        <v>392</v>
      </c>
      <c r="G2039" s="70" t="s">
        <v>392</v>
      </c>
      <c r="H2039" s="70" t="s">
        <v>2381</v>
      </c>
      <c r="I2039" s="70" t="s">
        <v>2380</v>
      </c>
      <c r="J2039" s="70" t="s">
        <v>2381</v>
      </c>
      <c r="K2039" s="70" t="s">
        <v>2380</v>
      </c>
      <c r="L2039" s="70" t="s">
        <v>595</v>
      </c>
      <c r="M2039" s="38" t="s">
        <v>648</v>
      </c>
      <c r="N2039" s="26">
        <v>4</v>
      </c>
      <c r="O2039" s="57">
        <f t="shared" ref="O2039:O2049" si="64">P2039/N2039</f>
        <v>37500</v>
      </c>
      <c r="P2039" s="62">
        <v>150000</v>
      </c>
      <c r="Q2039" s="6" t="s">
        <v>616</v>
      </c>
      <c r="R2039" s="6" t="s">
        <v>2450</v>
      </c>
      <c r="S2039" s="38">
        <v>311000000</v>
      </c>
      <c r="T2039" s="26">
        <v>30</v>
      </c>
    </row>
    <row r="2040" spans="1:20" ht="76.5" outlineLevel="1">
      <c r="B2040" s="6">
        <v>2024</v>
      </c>
      <c r="C2040" s="16" t="s">
        <v>714</v>
      </c>
      <c r="D2040" s="6" t="s">
        <v>601</v>
      </c>
      <c r="E2040" s="6" t="s">
        <v>2913</v>
      </c>
      <c r="F2040" s="70" t="s">
        <v>2916</v>
      </c>
      <c r="G2040" s="70" t="s">
        <v>2914</v>
      </c>
      <c r="H2040" s="70" t="s">
        <v>2917</v>
      </c>
      <c r="I2040" s="70" t="s">
        <v>2915</v>
      </c>
      <c r="J2040" s="70" t="s">
        <v>2916</v>
      </c>
      <c r="K2040" s="70" t="s">
        <v>2914</v>
      </c>
      <c r="L2040" s="70" t="s">
        <v>595</v>
      </c>
      <c r="M2040" s="12" t="s">
        <v>918</v>
      </c>
      <c r="N2040" s="26">
        <v>1</v>
      </c>
      <c r="O2040" s="57">
        <f t="shared" si="64"/>
        <v>804000</v>
      </c>
      <c r="P2040" s="62">
        <v>804000</v>
      </c>
      <c r="Q2040" s="6" t="s">
        <v>616</v>
      </c>
      <c r="R2040" s="6" t="s">
        <v>770</v>
      </c>
      <c r="S2040" s="38" t="s">
        <v>2037</v>
      </c>
      <c r="T2040" s="6">
        <v>0</v>
      </c>
    </row>
    <row r="2041" spans="1:20" s="8" customFormat="1" ht="76.5">
      <c r="A2041" s="4"/>
      <c r="B2041" s="6">
        <v>2025</v>
      </c>
      <c r="C2041" s="16" t="s">
        <v>714</v>
      </c>
      <c r="D2041" s="6" t="s">
        <v>601</v>
      </c>
      <c r="E2041" s="16" t="s">
        <v>2922</v>
      </c>
      <c r="F2041" s="38" t="s">
        <v>2939</v>
      </c>
      <c r="G2041" s="38" t="s">
        <v>2923</v>
      </c>
      <c r="H2041" s="38" t="s">
        <v>2940</v>
      </c>
      <c r="I2041" s="38" t="s">
        <v>2924</v>
      </c>
      <c r="J2041" s="38" t="s">
        <v>2941</v>
      </c>
      <c r="K2041" s="38" t="s">
        <v>2925</v>
      </c>
      <c r="L2041" s="70" t="s">
        <v>595</v>
      </c>
      <c r="M2041" s="38" t="s">
        <v>918</v>
      </c>
      <c r="N2041" s="7">
        <v>1</v>
      </c>
      <c r="O2041" s="85">
        <f t="shared" si="64"/>
        <v>1691000</v>
      </c>
      <c r="P2041" s="85">
        <v>1691000</v>
      </c>
      <c r="Q2041" s="6" t="s">
        <v>616</v>
      </c>
      <c r="R2041" s="6" t="s">
        <v>2926</v>
      </c>
      <c r="S2041" s="38">
        <v>751110000</v>
      </c>
      <c r="T2041" s="6">
        <v>50</v>
      </c>
    </row>
    <row r="2042" spans="1:20" s="8" customFormat="1" ht="114.75">
      <c r="A2042" s="4"/>
      <c r="B2042" s="6">
        <v>2026</v>
      </c>
      <c r="C2042" s="16" t="s">
        <v>714</v>
      </c>
      <c r="D2042" s="6" t="s">
        <v>601</v>
      </c>
      <c r="E2042" s="16" t="s">
        <v>2927</v>
      </c>
      <c r="F2042" s="38" t="s">
        <v>2942</v>
      </c>
      <c r="G2042" s="38" t="s">
        <v>2928</v>
      </c>
      <c r="H2042" s="38" t="s">
        <v>2943</v>
      </c>
      <c r="I2042" s="38" t="s">
        <v>2929</v>
      </c>
      <c r="J2042" s="38" t="s">
        <v>2949</v>
      </c>
      <c r="K2042" s="38" t="s">
        <v>2930</v>
      </c>
      <c r="L2042" s="70" t="s">
        <v>595</v>
      </c>
      <c r="M2042" s="38" t="s">
        <v>918</v>
      </c>
      <c r="N2042" s="7">
        <v>1</v>
      </c>
      <c r="O2042" s="85">
        <f t="shared" si="64"/>
        <v>2331000</v>
      </c>
      <c r="P2042" s="85">
        <v>2331000</v>
      </c>
      <c r="Q2042" s="6" t="s">
        <v>616</v>
      </c>
      <c r="R2042" s="6" t="s">
        <v>2926</v>
      </c>
      <c r="S2042" s="38">
        <v>751110000</v>
      </c>
      <c r="T2042" s="6">
        <v>50</v>
      </c>
    </row>
    <row r="2043" spans="1:20" s="8" customFormat="1" ht="89.25">
      <c r="A2043" s="4"/>
      <c r="B2043" s="6">
        <v>2027</v>
      </c>
      <c r="C2043" s="16" t="s">
        <v>714</v>
      </c>
      <c r="D2043" s="6" t="s">
        <v>601</v>
      </c>
      <c r="E2043" s="16" t="s">
        <v>2931</v>
      </c>
      <c r="F2043" s="38" t="s">
        <v>2944</v>
      </c>
      <c r="G2043" s="38" t="s">
        <v>2932</v>
      </c>
      <c r="H2043" s="38" t="s">
        <v>2944</v>
      </c>
      <c r="I2043" s="38" t="s">
        <v>2933</v>
      </c>
      <c r="J2043" s="38" t="s">
        <v>2945</v>
      </c>
      <c r="K2043" s="38" t="s">
        <v>2934</v>
      </c>
      <c r="L2043" s="70" t="s">
        <v>595</v>
      </c>
      <c r="M2043" s="38" t="s">
        <v>918</v>
      </c>
      <c r="N2043" s="7">
        <v>1</v>
      </c>
      <c r="O2043" s="85">
        <f t="shared" si="64"/>
        <v>3200000</v>
      </c>
      <c r="P2043" s="85">
        <v>3200000</v>
      </c>
      <c r="Q2043" s="6" t="s">
        <v>616</v>
      </c>
      <c r="R2043" s="6" t="s">
        <v>2926</v>
      </c>
      <c r="S2043" s="38">
        <v>751110000</v>
      </c>
      <c r="T2043" s="6">
        <v>50</v>
      </c>
    </row>
    <row r="2044" spans="1:20" s="8" customFormat="1" ht="89.25">
      <c r="A2044" s="4"/>
      <c r="B2044" s="6">
        <v>2028</v>
      </c>
      <c r="C2044" s="16" t="s">
        <v>714</v>
      </c>
      <c r="D2044" s="6" t="s">
        <v>601</v>
      </c>
      <c r="E2044" s="16" t="s">
        <v>2935</v>
      </c>
      <c r="F2044" s="38" t="s">
        <v>2946</v>
      </c>
      <c r="G2044" s="38" t="s">
        <v>2936</v>
      </c>
      <c r="H2044" s="38" t="s">
        <v>2947</v>
      </c>
      <c r="I2044" s="38" t="s">
        <v>2937</v>
      </c>
      <c r="J2044" s="38" t="s">
        <v>2948</v>
      </c>
      <c r="K2044" s="38" t="s">
        <v>2938</v>
      </c>
      <c r="L2044" s="70" t="s">
        <v>595</v>
      </c>
      <c r="M2044" s="38" t="s">
        <v>918</v>
      </c>
      <c r="N2044" s="7">
        <v>1</v>
      </c>
      <c r="O2044" s="85">
        <f t="shared" si="64"/>
        <v>3200000</v>
      </c>
      <c r="P2044" s="85">
        <v>3200000</v>
      </c>
      <c r="Q2044" s="6" t="s">
        <v>616</v>
      </c>
      <c r="R2044" s="6" t="s">
        <v>2926</v>
      </c>
      <c r="S2044" s="38">
        <v>751110000</v>
      </c>
      <c r="T2044" s="6">
        <v>50</v>
      </c>
    </row>
    <row r="2045" spans="1:20" s="46" customFormat="1" ht="51">
      <c r="A2045" s="17"/>
      <c r="B2045" s="6">
        <v>2029</v>
      </c>
      <c r="C2045" s="16" t="s">
        <v>714</v>
      </c>
      <c r="D2045" s="6" t="s">
        <v>1469</v>
      </c>
      <c r="E2045" s="6" t="s">
        <v>2950</v>
      </c>
      <c r="F2045" s="6" t="s">
        <v>2969</v>
      </c>
      <c r="G2045" s="70" t="s">
        <v>2951</v>
      </c>
      <c r="H2045" s="6" t="s">
        <v>2970</v>
      </c>
      <c r="I2045" s="70" t="s">
        <v>2952</v>
      </c>
      <c r="J2045" s="70" t="s">
        <v>2971</v>
      </c>
      <c r="K2045" s="70" t="s">
        <v>2953</v>
      </c>
      <c r="L2045" s="70" t="s">
        <v>595</v>
      </c>
      <c r="M2045" s="12" t="s">
        <v>1469</v>
      </c>
      <c r="N2045" s="26">
        <v>1</v>
      </c>
      <c r="O2045" s="57">
        <f t="shared" si="64"/>
        <v>45000</v>
      </c>
      <c r="P2045" s="62">
        <v>45000</v>
      </c>
      <c r="Q2045" s="38" t="s">
        <v>505</v>
      </c>
      <c r="R2045" s="6" t="s">
        <v>2954</v>
      </c>
      <c r="S2045" s="38" t="s">
        <v>1025</v>
      </c>
      <c r="T2045" s="6">
        <v>0</v>
      </c>
    </row>
    <row r="2046" spans="1:20" s="46" customFormat="1" ht="51">
      <c r="A2046" s="17"/>
      <c r="B2046" s="6">
        <v>2030</v>
      </c>
      <c r="C2046" s="16" t="s">
        <v>714</v>
      </c>
      <c r="D2046" s="6" t="s">
        <v>1469</v>
      </c>
      <c r="E2046" s="6" t="s">
        <v>2955</v>
      </c>
      <c r="F2046" s="6" t="s">
        <v>2972</v>
      </c>
      <c r="G2046" s="70" t="s">
        <v>2956</v>
      </c>
      <c r="H2046" s="6" t="s">
        <v>2972</v>
      </c>
      <c r="I2046" s="70" t="s">
        <v>2956</v>
      </c>
      <c r="J2046" s="70" t="s">
        <v>2973</v>
      </c>
      <c r="K2046" s="70" t="s">
        <v>2957</v>
      </c>
      <c r="L2046" s="70" t="s">
        <v>595</v>
      </c>
      <c r="M2046" s="12" t="s">
        <v>1469</v>
      </c>
      <c r="N2046" s="26">
        <v>1</v>
      </c>
      <c r="O2046" s="57">
        <f t="shared" si="64"/>
        <v>133929</v>
      </c>
      <c r="P2046" s="62">
        <v>133929</v>
      </c>
      <c r="Q2046" s="38" t="s">
        <v>505</v>
      </c>
      <c r="R2046" s="6" t="s">
        <v>2954</v>
      </c>
      <c r="S2046" s="38" t="s">
        <v>1025</v>
      </c>
      <c r="T2046" s="6">
        <v>0</v>
      </c>
    </row>
    <row r="2047" spans="1:20" s="46" customFormat="1" ht="51">
      <c r="A2047" s="17"/>
      <c r="B2047" s="6">
        <v>2031</v>
      </c>
      <c r="C2047" s="16" t="s">
        <v>714</v>
      </c>
      <c r="D2047" s="6" t="s">
        <v>1469</v>
      </c>
      <c r="E2047" s="6" t="s">
        <v>2958</v>
      </c>
      <c r="F2047" s="6" t="s">
        <v>2974</v>
      </c>
      <c r="G2047" s="70" t="s">
        <v>2959</v>
      </c>
      <c r="H2047" s="6" t="s">
        <v>2975</v>
      </c>
      <c r="I2047" s="70" t="s">
        <v>2960</v>
      </c>
      <c r="J2047" s="70" t="s">
        <v>2976</v>
      </c>
      <c r="K2047" s="70" t="s">
        <v>2961</v>
      </c>
      <c r="L2047" s="70" t="s">
        <v>1489</v>
      </c>
      <c r="M2047" s="12" t="s">
        <v>1469</v>
      </c>
      <c r="N2047" s="26">
        <v>1</v>
      </c>
      <c r="O2047" s="57">
        <f t="shared" si="64"/>
        <v>6260526</v>
      </c>
      <c r="P2047" s="62">
        <v>6260526</v>
      </c>
      <c r="Q2047" s="38" t="s">
        <v>505</v>
      </c>
      <c r="R2047" s="6" t="s">
        <v>2436</v>
      </c>
      <c r="S2047" s="38" t="s">
        <v>1025</v>
      </c>
      <c r="T2047" s="6">
        <v>30</v>
      </c>
    </row>
    <row r="2048" spans="1:20" s="46" customFormat="1" ht="51">
      <c r="A2048" s="17"/>
      <c r="B2048" s="6">
        <v>2032</v>
      </c>
      <c r="C2048" s="16" t="s">
        <v>714</v>
      </c>
      <c r="D2048" s="6" t="s">
        <v>1469</v>
      </c>
      <c r="E2048" s="6" t="s">
        <v>2962</v>
      </c>
      <c r="F2048" s="6" t="s">
        <v>2977</v>
      </c>
      <c r="G2048" s="70" t="s">
        <v>2963</v>
      </c>
      <c r="H2048" s="6" t="s">
        <v>2978</v>
      </c>
      <c r="I2048" s="70" t="s">
        <v>2964</v>
      </c>
      <c r="J2048" s="70" t="s">
        <v>2979</v>
      </c>
      <c r="K2048" s="70" t="s">
        <v>2965</v>
      </c>
      <c r="L2048" s="70" t="s">
        <v>1489</v>
      </c>
      <c r="M2048" s="12" t="s">
        <v>1469</v>
      </c>
      <c r="N2048" s="26">
        <v>1</v>
      </c>
      <c r="O2048" s="57">
        <f t="shared" si="64"/>
        <v>6493281</v>
      </c>
      <c r="P2048" s="62">
        <v>6493281</v>
      </c>
      <c r="Q2048" s="38" t="s">
        <v>505</v>
      </c>
      <c r="R2048" s="6" t="s">
        <v>2966</v>
      </c>
      <c r="S2048" s="38" t="s">
        <v>1025</v>
      </c>
      <c r="T2048" s="6">
        <v>30</v>
      </c>
    </row>
    <row r="2049" spans="1:20" s="46" customFormat="1" ht="76.5">
      <c r="A2049" s="17"/>
      <c r="B2049" s="6">
        <v>2033</v>
      </c>
      <c r="C2049" s="16" t="s">
        <v>714</v>
      </c>
      <c r="D2049" s="6" t="s">
        <v>601</v>
      </c>
      <c r="E2049" s="6" t="s">
        <v>864</v>
      </c>
      <c r="F2049" s="6" t="s">
        <v>865</v>
      </c>
      <c r="G2049" s="70" t="s">
        <v>701</v>
      </c>
      <c r="H2049" s="6" t="s">
        <v>866</v>
      </c>
      <c r="I2049" s="70" t="s">
        <v>867</v>
      </c>
      <c r="J2049" s="70" t="s">
        <v>2968</v>
      </c>
      <c r="K2049" s="70" t="s">
        <v>2967</v>
      </c>
      <c r="L2049" s="70" t="s">
        <v>1489</v>
      </c>
      <c r="M2049" s="38" t="s">
        <v>918</v>
      </c>
      <c r="N2049" s="26">
        <v>1</v>
      </c>
      <c r="O2049" s="57">
        <f t="shared" si="64"/>
        <v>4003119</v>
      </c>
      <c r="P2049" s="62">
        <v>4003119</v>
      </c>
      <c r="Q2049" s="38" t="s">
        <v>505</v>
      </c>
      <c r="R2049" s="6" t="s">
        <v>2966</v>
      </c>
      <c r="S2049" s="38" t="s">
        <v>1025</v>
      </c>
      <c r="T2049" s="6">
        <v>30</v>
      </c>
    </row>
    <row r="2050" spans="1:20" ht="76.5">
      <c r="B2050" s="6">
        <v>2034</v>
      </c>
      <c r="C2050" s="36" t="s">
        <v>714</v>
      </c>
      <c r="D2050" s="6" t="s">
        <v>601</v>
      </c>
      <c r="E2050" s="12" t="s">
        <v>2998</v>
      </c>
      <c r="F2050" s="70" t="s">
        <v>3000</v>
      </c>
      <c r="G2050" s="70" t="s">
        <v>2999</v>
      </c>
      <c r="H2050" s="70" t="s">
        <v>3000</v>
      </c>
      <c r="I2050" s="70" t="s">
        <v>2999</v>
      </c>
      <c r="J2050" s="70" t="s">
        <v>3002</v>
      </c>
      <c r="K2050" s="70" t="s">
        <v>3001</v>
      </c>
      <c r="L2050" s="70" t="s">
        <v>595</v>
      </c>
      <c r="M2050" s="38" t="s">
        <v>648</v>
      </c>
      <c r="N2050" s="10">
        <v>1</v>
      </c>
      <c r="O2050" s="57">
        <f t="shared" ref="O2050:O2055" si="65">P2050/N2050</f>
        <v>1652000</v>
      </c>
      <c r="P2050" s="62">
        <v>1652000</v>
      </c>
      <c r="Q2050" s="15" t="s">
        <v>616</v>
      </c>
      <c r="R2050" s="15" t="s">
        <v>770</v>
      </c>
      <c r="S2050" s="38" t="s">
        <v>1179</v>
      </c>
      <c r="T2050" s="15">
        <v>50</v>
      </c>
    </row>
    <row r="2051" spans="1:20" ht="63.75">
      <c r="B2051" s="6">
        <v>2035</v>
      </c>
      <c r="C2051" s="36" t="s">
        <v>714</v>
      </c>
      <c r="D2051" s="37" t="s">
        <v>715</v>
      </c>
      <c r="E2051" s="12" t="s">
        <v>2982</v>
      </c>
      <c r="F2051" s="70" t="s">
        <v>1583</v>
      </c>
      <c r="G2051" s="70" t="s">
        <v>1226</v>
      </c>
      <c r="H2051" s="70" t="s">
        <v>2984</v>
      </c>
      <c r="I2051" s="70" t="s">
        <v>2983</v>
      </c>
      <c r="J2051" s="70" t="s">
        <v>2986</v>
      </c>
      <c r="K2051" s="70" t="s">
        <v>2985</v>
      </c>
      <c r="L2051" s="70" t="s">
        <v>595</v>
      </c>
      <c r="M2051" s="38" t="s">
        <v>648</v>
      </c>
      <c r="N2051" s="10">
        <v>1</v>
      </c>
      <c r="O2051" s="57">
        <f t="shared" si="65"/>
        <v>747322</v>
      </c>
      <c r="P2051" s="62">
        <v>747322</v>
      </c>
      <c r="Q2051" s="15" t="s">
        <v>616</v>
      </c>
      <c r="R2051" s="15" t="s">
        <v>2503</v>
      </c>
      <c r="S2051" s="38" t="s">
        <v>1179</v>
      </c>
      <c r="T2051" s="15">
        <v>100</v>
      </c>
    </row>
    <row r="2052" spans="1:20" ht="63.75">
      <c r="B2052" s="6">
        <v>2036</v>
      </c>
      <c r="C2052" s="36" t="s">
        <v>714</v>
      </c>
      <c r="D2052" s="37" t="s">
        <v>715</v>
      </c>
      <c r="E2052" s="12" t="s">
        <v>2987</v>
      </c>
      <c r="F2052" s="70" t="s">
        <v>2088</v>
      </c>
      <c r="G2052" s="70" t="s">
        <v>1057</v>
      </c>
      <c r="H2052" s="70" t="s">
        <v>2989</v>
      </c>
      <c r="I2052" s="70" t="s">
        <v>2988</v>
      </c>
      <c r="J2052" s="70" t="s">
        <v>2088</v>
      </c>
      <c r="K2052" s="70" t="s">
        <v>1057</v>
      </c>
      <c r="L2052" s="70" t="s">
        <v>595</v>
      </c>
      <c r="M2052" s="38" t="s">
        <v>648</v>
      </c>
      <c r="N2052" s="10">
        <v>1</v>
      </c>
      <c r="O2052" s="57">
        <f t="shared" si="65"/>
        <v>210000</v>
      </c>
      <c r="P2052" s="62">
        <v>210000</v>
      </c>
      <c r="Q2052" s="15" t="s">
        <v>616</v>
      </c>
      <c r="R2052" s="15" t="s">
        <v>505</v>
      </c>
      <c r="S2052" s="38">
        <v>591000000</v>
      </c>
      <c r="T2052" s="15">
        <v>100</v>
      </c>
    </row>
    <row r="2053" spans="1:20" ht="153">
      <c r="B2053" s="6">
        <v>2037</v>
      </c>
      <c r="C2053" s="16" t="s">
        <v>714</v>
      </c>
      <c r="D2053" s="37" t="s">
        <v>715</v>
      </c>
      <c r="E2053" s="6" t="s">
        <v>2379</v>
      </c>
      <c r="F2053" s="70" t="s">
        <v>392</v>
      </c>
      <c r="G2053" s="70" t="s">
        <v>392</v>
      </c>
      <c r="H2053" s="70" t="s">
        <v>2381</v>
      </c>
      <c r="I2053" s="70" t="s">
        <v>2380</v>
      </c>
      <c r="J2053" s="70" t="s">
        <v>2381</v>
      </c>
      <c r="K2053" s="70" t="s">
        <v>2380</v>
      </c>
      <c r="L2053" s="70" t="s">
        <v>595</v>
      </c>
      <c r="M2053" s="38" t="s">
        <v>648</v>
      </c>
      <c r="N2053" s="26">
        <v>8</v>
      </c>
      <c r="O2053" s="57">
        <f t="shared" si="65"/>
        <v>38500</v>
      </c>
      <c r="P2053" s="62">
        <v>308000</v>
      </c>
      <c r="Q2053" s="6" t="s">
        <v>616</v>
      </c>
      <c r="R2053" s="6" t="s">
        <v>616</v>
      </c>
      <c r="S2053" s="38" t="s">
        <v>2037</v>
      </c>
      <c r="T2053" s="6">
        <v>0</v>
      </c>
    </row>
    <row r="2054" spans="1:20" ht="76.5">
      <c r="B2054" s="6">
        <v>2038</v>
      </c>
      <c r="C2054" s="16" t="s">
        <v>714</v>
      </c>
      <c r="D2054" s="37" t="s">
        <v>715</v>
      </c>
      <c r="E2054" s="6" t="s">
        <v>2992</v>
      </c>
      <c r="F2054" s="70" t="s">
        <v>2993</v>
      </c>
      <c r="G2054" s="70" t="s">
        <v>2993</v>
      </c>
      <c r="H2054" s="70" t="s">
        <v>2997</v>
      </c>
      <c r="I2054" s="70" t="s">
        <v>2994</v>
      </c>
      <c r="J2054" s="70" t="s">
        <v>2996</v>
      </c>
      <c r="K2054" s="70" t="s">
        <v>2995</v>
      </c>
      <c r="L2054" s="70" t="s">
        <v>595</v>
      </c>
      <c r="M2054" s="38" t="s">
        <v>648</v>
      </c>
      <c r="N2054" s="26">
        <v>1</v>
      </c>
      <c r="O2054" s="57">
        <f t="shared" si="65"/>
        <v>30000</v>
      </c>
      <c r="P2054" s="62">
        <v>30000</v>
      </c>
      <c r="Q2054" s="6" t="s">
        <v>616</v>
      </c>
      <c r="R2054" s="6" t="s">
        <v>616</v>
      </c>
      <c r="S2054" s="38" t="s">
        <v>2037</v>
      </c>
      <c r="T2054" s="6">
        <v>0</v>
      </c>
    </row>
    <row r="2055" spans="1:20" ht="165.75">
      <c r="B2055" s="6">
        <v>2039</v>
      </c>
      <c r="C2055" s="16" t="s">
        <v>714</v>
      </c>
      <c r="D2055" s="38" t="s">
        <v>601</v>
      </c>
      <c r="E2055" s="38" t="s">
        <v>946</v>
      </c>
      <c r="F2055" s="70" t="s">
        <v>1159</v>
      </c>
      <c r="G2055" s="70" t="s">
        <v>947</v>
      </c>
      <c r="H2055" s="70" t="s">
        <v>1977</v>
      </c>
      <c r="I2055" s="70" t="s">
        <v>948</v>
      </c>
      <c r="J2055" s="70" t="s">
        <v>3005</v>
      </c>
      <c r="K2055" s="70" t="s">
        <v>3004</v>
      </c>
      <c r="L2055" s="70" t="s">
        <v>595</v>
      </c>
      <c r="M2055" s="12" t="s">
        <v>918</v>
      </c>
      <c r="N2055" s="26">
        <v>1</v>
      </c>
      <c r="O2055" s="57">
        <f t="shared" si="65"/>
        <v>329250</v>
      </c>
      <c r="P2055" s="62">
        <v>329250</v>
      </c>
      <c r="Q2055" s="6" t="s">
        <v>505</v>
      </c>
      <c r="R2055" s="6" t="s">
        <v>2378</v>
      </c>
      <c r="S2055" s="38" t="s">
        <v>1179</v>
      </c>
      <c r="T2055" s="6">
        <v>50</v>
      </c>
    </row>
    <row r="2056" spans="1:20" s="31" customFormat="1" ht="114.75">
      <c r="A2056" s="30"/>
      <c r="B2056" s="6">
        <v>2040</v>
      </c>
      <c r="C2056" s="6" t="s">
        <v>714</v>
      </c>
      <c r="D2056" s="52" t="s">
        <v>601</v>
      </c>
      <c r="E2056" s="38" t="s">
        <v>2418</v>
      </c>
      <c r="F2056" s="38" t="s">
        <v>2419</v>
      </c>
      <c r="G2056" s="38" t="s">
        <v>2420</v>
      </c>
      <c r="H2056" s="38" t="s">
        <v>2421</v>
      </c>
      <c r="I2056" s="38" t="s">
        <v>2422</v>
      </c>
      <c r="J2056" s="43" t="s">
        <v>3008</v>
      </c>
      <c r="K2056" s="6" t="s">
        <v>3007</v>
      </c>
      <c r="L2056" s="70" t="s">
        <v>595</v>
      </c>
      <c r="M2056" s="6" t="s">
        <v>918</v>
      </c>
      <c r="N2056" s="6">
        <v>1</v>
      </c>
      <c r="O2056" s="57">
        <f t="shared" ref="O2056:O2057" si="66">P2056/N2056</f>
        <v>2500000</v>
      </c>
      <c r="P2056" s="105">
        <v>2500000</v>
      </c>
      <c r="Q2056" s="6" t="s">
        <v>616</v>
      </c>
      <c r="R2056" s="6" t="s">
        <v>3009</v>
      </c>
      <c r="S2056" s="38" t="s">
        <v>1179</v>
      </c>
      <c r="T2056" s="6">
        <v>100</v>
      </c>
    </row>
    <row r="2057" spans="1:20" s="31" customFormat="1" ht="127.5">
      <c r="A2057" s="30"/>
      <c r="B2057" s="6">
        <v>2041</v>
      </c>
      <c r="C2057" s="6" t="s">
        <v>714</v>
      </c>
      <c r="D2057" s="52" t="s">
        <v>601</v>
      </c>
      <c r="E2057" s="96" t="s">
        <v>2611</v>
      </c>
      <c r="F2057" s="70" t="s">
        <v>2633</v>
      </c>
      <c r="G2057" s="70" t="s">
        <v>2634</v>
      </c>
      <c r="H2057" s="70" t="s">
        <v>3010</v>
      </c>
      <c r="I2057" s="70" t="s">
        <v>3011</v>
      </c>
      <c r="J2057" s="43" t="s">
        <v>3013</v>
      </c>
      <c r="K2057" s="6" t="s">
        <v>3012</v>
      </c>
      <c r="L2057" s="70" t="s">
        <v>595</v>
      </c>
      <c r="M2057" s="6" t="s">
        <v>918</v>
      </c>
      <c r="N2057" s="6">
        <v>1</v>
      </c>
      <c r="O2057" s="57">
        <f t="shared" si="66"/>
        <v>900000</v>
      </c>
      <c r="P2057" s="57">
        <v>900000</v>
      </c>
      <c r="Q2057" s="6" t="s">
        <v>616</v>
      </c>
      <c r="R2057" s="6" t="s">
        <v>3009</v>
      </c>
      <c r="S2057" s="98">
        <v>751110000</v>
      </c>
      <c r="T2057" s="6">
        <v>100</v>
      </c>
    </row>
    <row r="2058" spans="1:20" ht="76.5" outlineLevel="1">
      <c r="B2058" s="6">
        <v>2042</v>
      </c>
      <c r="C2058" s="36" t="s">
        <v>714</v>
      </c>
      <c r="D2058" s="43" t="s">
        <v>601</v>
      </c>
      <c r="E2058" s="12" t="s">
        <v>3014</v>
      </c>
      <c r="F2058" s="70" t="s">
        <v>3016</v>
      </c>
      <c r="G2058" s="70" t="s">
        <v>3015</v>
      </c>
      <c r="H2058" s="70" t="s">
        <v>3016</v>
      </c>
      <c r="I2058" s="70" t="s">
        <v>3015</v>
      </c>
      <c r="J2058" s="70" t="s">
        <v>3016</v>
      </c>
      <c r="K2058" s="70" t="s">
        <v>3015</v>
      </c>
      <c r="L2058" s="70" t="s">
        <v>595</v>
      </c>
      <c r="M2058" s="12" t="s">
        <v>918</v>
      </c>
      <c r="N2058" s="26">
        <v>1</v>
      </c>
      <c r="O2058" s="57">
        <f>P2058/N2058</f>
        <v>133084</v>
      </c>
      <c r="P2058" s="62">
        <v>133084</v>
      </c>
      <c r="Q2058" s="6" t="s">
        <v>505</v>
      </c>
      <c r="R2058" s="6" t="s">
        <v>505</v>
      </c>
      <c r="S2058" s="38" t="s">
        <v>2037</v>
      </c>
      <c r="T2058" s="6">
        <v>30</v>
      </c>
    </row>
    <row r="2059" spans="1:20" ht="76.5">
      <c r="B2059" s="6">
        <v>2043</v>
      </c>
      <c r="C2059" s="36" t="s">
        <v>714</v>
      </c>
      <c r="D2059" s="6" t="s">
        <v>715</v>
      </c>
      <c r="E2059" s="6" t="s">
        <v>3017</v>
      </c>
      <c r="F2059" s="70" t="s">
        <v>734</v>
      </c>
      <c r="G2059" s="70" t="s">
        <v>735</v>
      </c>
      <c r="H2059" s="70" t="s">
        <v>3019</v>
      </c>
      <c r="I2059" s="70" t="s">
        <v>3018</v>
      </c>
      <c r="J2059" s="70" t="s">
        <v>3021</v>
      </c>
      <c r="K2059" s="70" t="s">
        <v>3020</v>
      </c>
      <c r="L2059" s="70" t="s">
        <v>595</v>
      </c>
      <c r="M2059" s="38" t="s">
        <v>648</v>
      </c>
      <c r="N2059" s="26">
        <v>15</v>
      </c>
      <c r="O2059" s="57">
        <f>P2059/N2059</f>
        <v>5807</v>
      </c>
      <c r="P2059" s="62">
        <v>87105</v>
      </c>
      <c r="Q2059" s="6" t="s">
        <v>505</v>
      </c>
      <c r="R2059" s="6" t="s">
        <v>2503</v>
      </c>
      <c r="S2059" s="6">
        <v>391000000</v>
      </c>
      <c r="T2059" s="26">
        <v>100</v>
      </c>
    </row>
    <row r="2060" spans="1:20" ht="51.75" customHeight="1" outlineLevel="1">
      <c r="B2060" s="6">
        <v>2044</v>
      </c>
      <c r="C2060" s="36" t="s">
        <v>714</v>
      </c>
      <c r="D2060" s="37" t="s">
        <v>715</v>
      </c>
      <c r="E2060" s="16" t="s">
        <v>3022</v>
      </c>
      <c r="F2060" s="70" t="s">
        <v>749</v>
      </c>
      <c r="G2060" s="70" t="s">
        <v>109</v>
      </c>
      <c r="H2060" s="70" t="s">
        <v>3024</v>
      </c>
      <c r="I2060" s="70" t="s">
        <v>3023</v>
      </c>
      <c r="J2060" s="70" t="s">
        <v>3024</v>
      </c>
      <c r="K2060" s="70" t="s">
        <v>3023</v>
      </c>
      <c r="L2060" s="70" t="s">
        <v>595</v>
      </c>
      <c r="M2060" s="38" t="s">
        <v>648</v>
      </c>
      <c r="N2060" s="26">
        <v>10</v>
      </c>
      <c r="O2060" s="57">
        <f>P2060/N2060</f>
        <v>5692</v>
      </c>
      <c r="P2060" s="62">
        <v>56920</v>
      </c>
      <c r="Q2060" s="6" t="s">
        <v>505</v>
      </c>
      <c r="R2060" s="6" t="s">
        <v>2954</v>
      </c>
      <c r="S2060" s="38" t="s">
        <v>1025</v>
      </c>
      <c r="T2060" s="6">
        <v>100</v>
      </c>
    </row>
    <row r="2061" spans="1:20" ht="63.75">
      <c r="B2061" s="6">
        <v>2045</v>
      </c>
      <c r="C2061" s="16" t="s">
        <v>714</v>
      </c>
      <c r="D2061" s="38" t="s">
        <v>601</v>
      </c>
      <c r="E2061" s="38" t="s">
        <v>1470</v>
      </c>
      <c r="F2061" s="70" t="s">
        <v>2013</v>
      </c>
      <c r="G2061" s="70" t="s">
        <v>1471</v>
      </c>
      <c r="H2061" s="70" t="s">
        <v>2013</v>
      </c>
      <c r="I2061" s="70" t="s">
        <v>1471</v>
      </c>
      <c r="J2061" s="70" t="s">
        <v>3026</v>
      </c>
      <c r="K2061" s="70" t="s">
        <v>3025</v>
      </c>
      <c r="L2061" s="70" t="s">
        <v>595</v>
      </c>
      <c r="M2061" s="12" t="s">
        <v>918</v>
      </c>
      <c r="N2061" s="26">
        <v>1</v>
      </c>
      <c r="O2061" s="57">
        <f>P2061/N2061</f>
        <v>3000000</v>
      </c>
      <c r="P2061" s="62">
        <v>3000000</v>
      </c>
      <c r="Q2061" s="6" t="s">
        <v>505</v>
      </c>
      <c r="R2061" s="16" t="s">
        <v>505</v>
      </c>
      <c r="S2061" s="38" t="s">
        <v>1179</v>
      </c>
      <c r="T2061" s="26">
        <v>30</v>
      </c>
    </row>
    <row r="2062" spans="1:20" s="1" customFormat="1" ht="76.5">
      <c r="A2062" s="3"/>
      <c r="B2062" s="6">
        <v>2046</v>
      </c>
      <c r="C2062" s="16" t="s">
        <v>714</v>
      </c>
      <c r="D2062" s="38" t="s">
        <v>601</v>
      </c>
      <c r="E2062" s="38" t="s">
        <v>511</v>
      </c>
      <c r="F2062" s="70" t="s">
        <v>1953</v>
      </c>
      <c r="G2062" s="70" t="s">
        <v>513</v>
      </c>
      <c r="H2062" s="70" t="s">
        <v>2414</v>
      </c>
      <c r="I2062" s="70" t="s">
        <v>514</v>
      </c>
      <c r="J2062" s="70" t="s">
        <v>3028</v>
      </c>
      <c r="K2062" s="70" t="s">
        <v>3027</v>
      </c>
      <c r="L2062" s="70" t="s">
        <v>595</v>
      </c>
      <c r="M2062" s="12" t="s">
        <v>918</v>
      </c>
      <c r="N2062" s="26">
        <v>1</v>
      </c>
      <c r="O2062" s="57">
        <f>P2062/N2062</f>
        <v>10867765</v>
      </c>
      <c r="P2062" s="62">
        <v>10867765</v>
      </c>
      <c r="Q2062" s="5" t="s">
        <v>505</v>
      </c>
      <c r="R2062" s="6" t="s">
        <v>506</v>
      </c>
      <c r="S2062" s="38" t="s">
        <v>1179</v>
      </c>
      <c r="T2062" s="6">
        <v>30</v>
      </c>
    </row>
    <row r="2063" spans="1:20" s="42" customFormat="1" ht="63.75">
      <c r="A2063" s="41"/>
      <c r="B2063" s="6">
        <v>2047</v>
      </c>
      <c r="C2063" s="16" t="s">
        <v>714</v>
      </c>
      <c r="D2063" s="38" t="s">
        <v>601</v>
      </c>
      <c r="E2063" s="38" t="s">
        <v>593</v>
      </c>
      <c r="F2063" s="70" t="s">
        <v>2053</v>
      </c>
      <c r="G2063" s="70" t="s">
        <v>713</v>
      </c>
      <c r="H2063" s="70" t="s">
        <v>2053</v>
      </c>
      <c r="I2063" s="70" t="s">
        <v>594</v>
      </c>
      <c r="J2063" s="70" t="s">
        <v>2055</v>
      </c>
      <c r="K2063" s="70" t="s">
        <v>341</v>
      </c>
      <c r="L2063" s="70" t="s">
        <v>595</v>
      </c>
      <c r="M2063" s="12" t="s">
        <v>918</v>
      </c>
      <c r="N2063" s="26">
        <v>1</v>
      </c>
      <c r="O2063" s="57">
        <f t="shared" ref="O2063" si="67">P2063/N2063</f>
        <v>50000000</v>
      </c>
      <c r="P2063" s="62">
        <v>50000000</v>
      </c>
      <c r="Q2063" s="6" t="s">
        <v>506</v>
      </c>
      <c r="R2063" s="6" t="s">
        <v>3029</v>
      </c>
      <c r="S2063" s="38" t="s">
        <v>1179</v>
      </c>
      <c r="T2063" s="26">
        <v>30</v>
      </c>
    </row>
    <row r="2064" spans="1:20" ht="114.75">
      <c r="B2064" s="6">
        <v>2048</v>
      </c>
      <c r="C2064" s="16" t="s">
        <v>714</v>
      </c>
      <c r="D2064" s="38" t="s">
        <v>601</v>
      </c>
      <c r="E2064" s="38" t="s">
        <v>1272</v>
      </c>
      <c r="F2064" s="93" t="s">
        <v>1874</v>
      </c>
      <c r="G2064" s="93" t="s">
        <v>3030</v>
      </c>
      <c r="H2064" s="93" t="s">
        <v>1874</v>
      </c>
      <c r="I2064" s="93" t="s">
        <v>1274</v>
      </c>
      <c r="J2064" s="93" t="s">
        <v>3032</v>
      </c>
      <c r="K2064" s="93" t="s">
        <v>3031</v>
      </c>
      <c r="L2064" s="93" t="s">
        <v>595</v>
      </c>
      <c r="M2064" s="12" t="s">
        <v>918</v>
      </c>
      <c r="N2064" s="26">
        <v>1</v>
      </c>
      <c r="O2064" s="57">
        <f>P2064/N2064</f>
        <v>2412632</v>
      </c>
      <c r="P2064" s="62">
        <f>2412632</f>
        <v>2412632</v>
      </c>
      <c r="Q2064" s="6" t="s">
        <v>506</v>
      </c>
      <c r="R2064" s="6" t="s">
        <v>3033</v>
      </c>
      <c r="S2064" s="38" t="s">
        <v>1179</v>
      </c>
      <c r="T2064" s="26">
        <v>50</v>
      </c>
    </row>
    <row r="2065" spans="1:20" s="8" customFormat="1" ht="89.25">
      <c r="A2065" s="4"/>
      <c r="B2065" s="6">
        <v>2049</v>
      </c>
      <c r="C2065" s="36" t="s">
        <v>714</v>
      </c>
      <c r="D2065" s="43" t="s">
        <v>1469</v>
      </c>
      <c r="E2065" s="6" t="s">
        <v>3034</v>
      </c>
      <c r="F2065" s="6" t="s">
        <v>3037</v>
      </c>
      <c r="G2065" s="6" t="s">
        <v>3035</v>
      </c>
      <c r="H2065" s="6" t="s">
        <v>3038</v>
      </c>
      <c r="I2065" s="38" t="s">
        <v>3036</v>
      </c>
      <c r="J2065" s="6" t="s">
        <v>3040</v>
      </c>
      <c r="K2065" s="38" t="s">
        <v>3039</v>
      </c>
      <c r="L2065" s="6" t="s">
        <v>595</v>
      </c>
      <c r="M2065" s="5" t="s">
        <v>1469</v>
      </c>
      <c r="N2065" s="7">
        <v>1</v>
      </c>
      <c r="O2065" s="85">
        <f t="shared" ref="O2065" si="68">P2065</f>
        <v>2990000</v>
      </c>
      <c r="P2065" s="85">
        <v>2990000</v>
      </c>
      <c r="Q2065" s="6" t="s">
        <v>505</v>
      </c>
      <c r="R2065" s="6" t="s">
        <v>3041</v>
      </c>
      <c r="S2065" s="38" t="s">
        <v>1179</v>
      </c>
      <c r="T2065" s="6">
        <v>50</v>
      </c>
    </row>
    <row r="2066" spans="1:20" s="8" customFormat="1" ht="51" customHeight="1">
      <c r="A2066" s="4"/>
      <c r="B2066" s="6">
        <v>2050</v>
      </c>
      <c r="C2066" s="36" t="s">
        <v>714</v>
      </c>
      <c r="D2066" s="37" t="s">
        <v>715</v>
      </c>
      <c r="E2066" s="12" t="s">
        <v>3042</v>
      </c>
      <c r="F2066" s="123" t="s">
        <v>3046</v>
      </c>
      <c r="G2066" s="38" t="s">
        <v>3043</v>
      </c>
      <c r="H2066" s="38" t="s">
        <v>3047</v>
      </c>
      <c r="I2066" s="6" t="s">
        <v>3044</v>
      </c>
      <c r="J2066" s="123" t="s">
        <v>3046</v>
      </c>
      <c r="K2066" s="38" t="s">
        <v>3043</v>
      </c>
      <c r="L2066" s="6" t="s">
        <v>595</v>
      </c>
      <c r="M2066" s="5" t="s">
        <v>648</v>
      </c>
      <c r="N2066" s="7">
        <v>7</v>
      </c>
      <c r="O2066" s="85">
        <f t="shared" ref="O2066:O2072" si="69">P2066/N2066</f>
        <v>200</v>
      </c>
      <c r="P2066" s="85">
        <v>1400</v>
      </c>
      <c r="Q2066" s="6" t="s">
        <v>505</v>
      </c>
      <c r="R2066" s="6" t="s">
        <v>3045</v>
      </c>
      <c r="S2066" s="38">
        <v>431000000</v>
      </c>
      <c r="T2066" s="6">
        <v>0</v>
      </c>
    </row>
    <row r="2067" spans="1:20" s="8" customFormat="1" ht="51" customHeight="1">
      <c r="A2067" s="4"/>
      <c r="B2067" s="6">
        <v>2051</v>
      </c>
      <c r="C2067" s="36" t="s">
        <v>714</v>
      </c>
      <c r="D2067" s="37" t="s">
        <v>715</v>
      </c>
      <c r="E2067" s="12" t="s">
        <v>3048</v>
      </c>
      <c r="F2067" s="123" t="s">
        <v>3046</v>
      </c>
      <c r="G2067" s="38" t="s">
        <v>3043</v>
      </c>
      <c r="H2067" s="6" t="s">
        <v>3050</v>
      </c>
      <c r="I2067" s="6" t="s">
        <v>3049</v>
      </c>
      <c r="J2067" s="123" t="s">
        <v>3046</v>
      </c>
      <c r="K2067" s="38" t="s">
        <v>3043</v>
      </c>
      <c r="L2067" s="6" t="s">
        <v>595</v>
      </c>
      <c r="M2067" s="5" t="s">
        <v>648</v>
      </c>
      <c r="N2067" s="7">
        <v>1</v>
      </c>
      <c r="O2067" s="85">
        <f t="shared" si="69"/>
        <v>2400</v>
      </c>
      <c r="P2067" s="85">
        <v>2400</v>
      </c>
      <c r="Q2067" s="6" t="s">
        <v>505</v>
      </c>
      <c r="R2067" s="6" t="s">
        <v>3045</v>
      </c>
      <c r="S2067" s="38">
        <v>431000000</v>
      </c>
      <c r="T2067" s="6">
        <v>0</v>
      </c>
    </row>
    <row r="2068" spans="1:20" s="8" customFormat="1" ht="51" customHeight="1">
      <c r="A2068" s="4"/>
      <c r="B2068" s="6">
        <v>2052</v>
      </c>
      <c r="C2068" s="36" t="s">
        <v>714</v>
      </c>
      <c r="D2068" s="37" t="s">
        <v>715</v>
      </c>
      <c r="E2068" s="12" t="s">
        <v>3051</v>
      </c>
      <c r="F2068" s="123" t="s">
        <v>3054</v>
      </c>
      <c r="G2068" s="38" t="s">
        <v>3052</v>
      </c>
      <c r="H2068" s="6" t="s">
        <v>3055</v>
      </c>
      <c r="I2068" s="6" t="s">
        <v>3053</v>
      </c>
      <c r="J2068" s="123" t="s">
        <v>3054</v>
      </c>
      <c r="K2068" s="38" t="s">
        <v>3052</v>
      </c>
      <c r="L2068" s="6" t="s">
        <v>595</v>
      </c>
      <c r="M2068" s="5" t="s">
        <v>648</v>
      </c>
      <c r="N2068" s="7">
        <v>12</v>
      </c>
      <c r="O2068" s="85">
        <f t="shared" si="69"/>
        <v>500</v>
      </c>
      <c r="P2068" s="85">
        <v>6000</v>
      </c>
      <c r="Q2068" s="6" t="s">
        <v>505</v>
      </c>
      <c r="R2068" s="6" t="s">
        <v>3045</v>
      </c>
      <c r="S2068" s="38">
        <v>431000000</v>
      </c>
      <c r="T2068" s="6">
        <v>0</v>
      </c>
    </row>
    <row r="2069" spans="1:20" s="8" customFormat="1" ht="51" customHeight="1">
      <c r="A2069" s="4"/>
      <c r="B2069" s="6">
        <v>2053</v>
      </c>
      <c r="C2069" s="36" t="s">
        <v>714</v>
      </c>
      <c r="D2069" s="43" t="s">
        <v>2444</v>
      </c>
      <c r="E2069" s="6" t="s">
        <v>3056</v>
      </c>
      <c r="F2069" s="123" t="s">
        <v>3058</v>
      </c>
      <c r="G2069" s="6" t="s">
        <v>3057</v>
      </c>
      <c r="H2069" s="6" t="s">
        <v>3060</v>
      </c>
      <c r="I2069" s="6" t="s">
        <v>3059</v>
      </c>
      <c r="J2069" s="123" t="s">
        <v>3058</v>
      </c>
      <c r="K2069" s="6" t="s">
        <v>3057</v>
      </c>
      <c r="L2069" s="6" t="s">
        <v>595</v>
      </c>
      <c r="M2069" s="5" t="s">
        <v>648</v>
      </c>
      <c r="N2069" s="7">
        <v>16</v>
      </c>
      <c r="O2069" s="85">
        <f t="shared" si="69"/>
        <v>6300</v>
      </c>
      <c r="P2069" s="85">
        <v>100800</v>
      </c>
      <c r="Q2069" s="6" t="s">
        <v>505</v>
      </c>
      <c r="R2069" s="6" t="s">
        <v>3045</v>
      </c>
      <c r="S2069" s="38">
        <v>431000000</v>
      </c>
      <c r="T2069" s="6">
        <v>0</v>
      </c>
    </row>
    <row r="2070" spans="1:20" s="8" customFormat="1" ht="51" customHeight="1">
      <c r="A2070" s="4"/>
      <c r="B2070" s="6">
        <v>2054</v>
      </c>
      <c r="C2070" s="36" t="s">
        <v>714</v>
      </c>
      <c r="D2070" s="43" t="s">
        <v>2444</v>
      </c>
      <c r="E2070" s="6" t="s">
        <v>3061</v>
      </c>
      <c r="F2070" s="123" t="s">
        <v>3064</v>
      </c>
      <c r="G2070" s="6" t="s">
        <v>3062</v>
      </c>
      <c r="H2070" s="6" t="s">
        <v>3060</v>
      </c>
      <c r="I2070" s="6" t="s">
        <v>3063</v>
      </c>
      <c r="J2070" s="123" t="s">
        <v>3064</v>
      </c>
      <c r="K2070" s="6" t="s">
        <v>3062</v>
      </c>
      <c r="L2070" s="6" t="s">
        <v>595</v>
      </c>
      <c r="M2070" s="6" t="s">
        <v>633</v>
      </c>
      <c r="N2070" s="7">
        <v>1</v>
      </c>
      <c r="O2070" s="85">
        <f t="shared" si="69"/>
        <v>3000</v>
      </c>
      <c r="P2070" s="85">
        <v>3000</v>
      </c>
      <c r="Q2070" s="6" t="s">
        <v>505</v>
      </c>
      <c r="R2070" s="6" t="s">
        <v>3045</v>
      </c>
      <c r="S2070" s="38">
        <v>431000000</v>
      </c>
      <c r="T2070" s="6">
        <v>0</v>
      </c>
    </row>
    <row r="2071" spans="1:20" s="8" customFormat="1" ht="51" customHeight="1">
      <c r="A2071" s="4"/>
      <c r="B2071" s="6">
        <v>2055</v>
      </c>
      <c r="C2071" s="36" t="s">
        <v>714</v>
      </c>
      <c r="D2071" s="43" t="s">
        <v>2444</v>
      </c>
      <c r="E2071" s="6" t="s">
        <v>3065</v>
      </c>
      <c r="F2071" s="12" t="s">
        <v>3068</v>
      </c>
      <c r="G2071" s="6" t="s">
        <v>3066</v>
      </c>
      <c r="H2071" s="6" t="s">
        <v>3069</v>
      </c>
      <c r="I2071" s="6" t="s">
        <v>3067</v>
      </c>
      <c r="J2071" s="6" t="s">
        <v>3069</v>
      </c>
      <c r="K2071" s="6" t="s">
        <v>3067</v>
      </c>
      <c r="L2071" s="6" t="s">
        <v>595</v>
      </c>
      <c r="M2071" s="6" t="s">
        <v>642</v>
      </c>
      <c r="N2071" s="7">
        <v>1</v>
      </c>
      <c r="O2071" s="85">
        <f t="shared" si="69"/>
        <v>10400</v>
      </c>
      <c r="P2071" s="85">
        <v>10400</v>
      </c>
      <c r="Q2071" s="6" t="s">
        <v>505</v>
      </c>
      <c r="R2071" s="6" t="s">
        <v>3045</v>
      </c>
      <c r="S2071" s="38">
        <v>431000000</v>
      </c>
      <c r="T2071" s="6">
        <v>0</v>
      </c>
    </row>
    <row r="2072" spans="1:20" s="8" customFormat="1" ht="51" customHeight="1">
      <c r="A2072" s="4"/>
      <c r="B2072" s="6">
        <v>2056</v>
      </c>
      <c r="C2072" s="36" t="s">
        <v>714</v>
      </c>
      <c r="D2072" s="43" t="s">
        <v>2444</v>
      </c>
      <c r="E2072" s="6" t="s">
        <v>3070</v>
      </c>
      <c r="F2072" s="6" t="s">
        <v>3071</v>
      </c>
      <c r="G2072" s="6" t="s">
        <v>3071</v>
      </c>
      <c r="H2072" s="6" t="s">
        <v>3073</v>
      </c>
      <c r="I2072" s="6" t="s">
        <v>3072</v>
      </c>
      <c r="J2072" s="6" t="s">
        <v>3071</v>
      </c>
      <c r="K2072" s="6" t="s">
        <v>3071</v>
      </c>
      <c r="L2072" s="6" t="s">
        <v>595</v>
      </c>
      <c r="M2072" s="5" t="s">
        <v>648</v>
      </c>
      <c r="N2072" s="7">
        <v>1</v>
      </c>
      <c r="O2072" s="85">
        <f t="shared" si="69"/>
        <v>10500</v>
      </c>
      <c r="P2072" s="85">
        <v>10500</v>
      </c>
      <c r="Q2072" s="6" t="s">
        <v>505</v>
      </c>
      <c r="R2072" s="6" t="s">
        <v>3045</v>
      </c>
      <c r="S2072" s="38">
        <v>431000000</v>
      </c>
      <c r="T2072" s="6">
        <v>0</v>
      </c>
    </row>
    <row r="2073" spans="1:20" s="46" customFormat="1" ht="51">
      <c r="A2073" s="17"/>
      <c r="B2073" s="6">
        <v>2057</v>
      </c>
      <c r="C2073" s="16" t="s">
        <v>714</v>
      </c>
      <c r="D2073" s="6" t="s">
        <v>1469</v>
      </c>
      <c r="E2073" s="6" t="s">
        <v>3074</v>
      </c>
      <c r="F2073" s="6" t="s">
        <v>3077</v>
      </c>
      <c r="G2073" s="70" t="s">
        <v>3075</v>
      </c>
      <c r="H2073" s="6" t="s">
        <v>3078</v>
      </c>
      <c r="I2073" s="70" t="s">
        <v>3076</v>
      </c>
      <c r="J2073" s="6" t="s">
        <v>3078</v>
      </c>
      <c r="K2073" s="70" t="s">
        <v>3076</v>
      </c>
      <c r="L2073" s="70" t="s">
        <v>595</v>
      </c>
      <c r="M2073" s="12" t="s">
        <v>1469</v>
      </c>
      <c r="N2073" s="26">
        <v>1</v>
      </c>
      <c r="O2073" s="57">
        <f t="shared" ref="O2073" si="70">P2073/N2073</f>
        <v>220000</v>
      </c>
      <c r="P2073" s="62">
        <v>220000</v>
      </c>
      <c r="Q2073" s="38" t="s">
        <v>505</v>
      </c>
      <c r="R2073" s="6" t="s">
        <v>3045</v>
      </c>
      <c r="S2073" s="38">
        <v>431000000</v>
      </c>
      <c r="T2073" s="6">
        <v>0</v>
      </c>
    </row>
    <row r="2074" spans="1:20" ht="51" outlineLevel="1">
      <c r="B2074" s="6">
        <v>2058</v>
      </c>
      <c r="C2074" s="16" t="s">
        <v>714</v>
      </c>
      <c r="D2074" s="6" t="s">
        <v>601</v>
      </c>
      <c r="E2074" s="12" t="s">
        <v>1255</v>
      </c>
      <c r="F2074" s="70" t="s">
        <v>1770</v>
      </c>
      <c r="G2074" s="70" t="s">
        <v>1256</v>
      </c>
      <c r="H2074" s="70" t="s">
        <v>1770</v>
      </c>
      <c r="I2074" s="70" t="s">
        <v>1256</v>
      </c>
      <c r="J2074" s="70" t="s">
        <v>3079</v>
      </c>
      <c r="K2074" s="70" t="s">
        <v>3080</v>
      </c>
      <c r="L2074" s="70" t="s">
        <v>595</v>
      </c>
      <c r="M2074" s="12" t="s">
        <v>918</v>
      </c>
      <c r="N2074" s="10">
        <v>1</v>
      </c>
      <c r="O2074" s="57">
        <f>P2074/N2074</f>
        <v>100000</v>
      </c>
      <c r="P2074" s="62">
        <v>100000</v>
      </c>
      <c r="Q2074" s="15" t="s">
        <v>505</v>
      </c>
      <c r="R2074" s="6" t="s">
        <v>770</v>
      </c>
      <c r="S2074" s="38">
        <v>231000000</v>
      </c>
      <c r="T2074" s="15">
        <v>0</v>
      </c>
    </row>
    <row r="2075" spans="1:20" s="8" customFormat="1" ht="51">
      <c r="A2075" s="4"/>
      <c r="B2075" s="6">
        <v>2059</v>
      </c>
      <c r="C2075" s="36" t="s">
        <v>714</v>
      </c>
      <c r="D2075" s="43" t="s">
        <v>601</v>
      </c>
      <c r="E2075" s="6" t="s">
        <v>3081</v>
      </c>
      <c r="F2075" s="38" t="s">
        <v>3084</v>
      </c>
      <c r="G2075" s="38" t="s">
        <v>3083</v>
      </c>
      <c r="H2075" s="38" t="s">
        <v>3085</v>
      </c>
      <c r="I2075" s="6" t="s">
        <v>3082</v>
      </c>
      <c r="J2075" s="38" t="s">
        <v>3087</v>
      </c>
      <c r="K2075" s="38" t="s">
        <v>3086</v>
      </c>
      <c r="L2075" s="6" t="s">
        <v>595</v>
      </c>
      <c r="M2075" s="12" t="s">
        <v>918</v>
      </c>
      <c r="N2075" s="7">
        <v>1</v>
      </c>
      <c r="O2075" s="57">
        <f>P2075/N2075</f>
        <v>430000</v>
      </c>
      <c r="P2075" s="85">
        <v>430000</v>
      </c>
      <c r="Q2075" s="6" t="s">
        <v>505</v>
      </c>
      <c r="R2075" s="6" t="s">
        <v>2436</v>
      </c>
      <c r="S2075" s="38">
        <v>231000000</v>
      </c>
      <c r="T2075" s="6">
        <v>50</v>
      </c>
    </row>
    <row r="2076" spans="1:20" ht="63.75" outlineLevel="1">
      <c r="B2076" s="6">
        <v>2060</v>
      </c>
      <c r="C2076" s="16" t="s">
        <v>714</v>
      </c>
      <c r="D2076" s="6" t="s">
        <v>601</v>
      </c>
      <c r="E2076" s="6" t="s">
        <v>861</v>
      </c>
      <c r="F2076" s="70" t="s">
        <v>2277</v>
      </c>
      <c r="G2076" s="70" t="s">
        <v>34</v>
      </c>
      <c r="H2076" s="70" t="s">
        <v>862</v>
      </c>
      <c r="I2076" s="70" t="s">
        <v>863</v>
      </c>
      <c r="J2076" s="70" t="s">
        <v>3089</v>
      </c>
      <c r="K2076" s="70" t="s">
        <v>3088</v>
      </c>
      <c r="L2076" s="70" t="s">
        <v>595</v>
      </c>
      <c r="M2076" s="12" t="s">
        <v>918</v>
      </c>
      <c r="N2076" s="26">
        <v>1</v>
      </c>
      <c r="O2076" s="57">
        <f>P2076/N2076</f>
        <v>150000</v>
      </c>
      <c r="P2076" s="62">
        <v>150000</v>
      </c>
      <c r="Q2076" s="6" t="s">
        <v>505</v>
      </c>
      <c r="R2076" s="6" t="s">
        <v>770</v>
      </c>
      <c r="S2076" s="38">
        <v>231000000</v>
      </c>
      <c r="T2076" s="26">
        <v>0</v>
      </c>
    </row>
    <row r="2077" spans="1:20" s="46" customFormat="1" ht="25.5">
      <c r="A2077" s="17"/>
      <c r="B2077" s="6">
        <v>2061</v>
      </c>
      <c r="C2077" s="16" t="s">
        <v>714</v>
      </c>
      <c r="D2077" s="6" t="s">
        <v>1469</v>
      </c>
      <c r="E2077" s="6" t="s">
        <v>3095</v>
      </c>
      <c r="F2077" s="6" t="s">
        <v>3077</v>
      </c>
      <c r="G2077" s="70" t="s">
        <v>3075</v>
      </c>
      <c r="H2077" s="6" t="s">
        <v>3077</v>
      </c>
      <c r="I2077" s="70" t="s">
        <v>3075</v>
      </c>
      <c r="J2077" s="6" t="s">
        <v>3097</v>
      </c>
      <c r="K2077" s="70" t="s">
        <v>3096</v>
      </c>
      <c r="L2077" s="70" t="s">
        <v>595</v>
      </c>
      <c r="M2077" s="12" t="s">
        <v>1469</v>
      </c>
      <c r="N2077" s="26">
        <v>1</v>
      </c>
      <c r="O2077" s="57">
        <f t="shared" ref="O2077" si="71">P2077/N2077</f>
        <v>155000</v>
      </c>
      <c r="P2077" s="62">
        <v>155000</v>
      </c>
      <c r="Q2077" s="38" t="s">
        <v>505</v>
      </c>
      <c r="R2077" s="6" t="s">
        <v>1323</v>
      </c>
      <c r="S2077" s="38">
        <v>551000000</v>
      </c>
      <c r="T2077" s="6">
        <v>100</v>
      </c>
    </row>
    <row r="2078" spans="1:20" s="8" customFormat="1" ht="51">
      <c r="A2078" s="4"/>
      <c r="B2078" s="6">
        <v>2062</v>
      </c>
      <c r="C2078" s="36" t="s">
        <v>714</v>
      </c>
      <c r="D2078" s="43" t="s">
        <v>601</v>
      </c>
      <c r="E2078" s="6" t="s">
        <v>3090</v>
      </c>
      <c r="F2078" s="38" t="s">
        <v>2633</v>
      </c>
      <c r="G2078" s="38" t="s">
        <v>1309</v>
      </c>
      <c r="H2078" s="5" t="s">
        <v>3093</v>
      </c>
      <c r="I2078" s="38" t="s">
        <v>3094</v>
      </c>
      <c r="J2078" s="6" t="s">
        <v>3091</v>
      </c>
      <c r="K2078" s="6" t="s">
        <v>3092</v>
      </c>
      <c r="L2078" s="6" t="s">
        <v>595</v>
      </c>
      <c r="M2078" s="12" t="s">
        <v>918</v>
      </c>
      <c r="N2078" s="7">
        <v>1</v>
      </c>
      <c r="O2078" s="85">
        <f>P2078/N2078</f>
        <v>150000</v>
      </c>
      <c r="P2078" s="85">
        <v>150000</v>
      </c>
      <c r="Q2078" s="6" t="s">
        <v>505</v>
      </c>
      <c r="R2078" s="6" t="s">
        <v>2503</v>
      </c>
      <c r="S2078" s="38">
        <v>391000000</v>
      </c>
      <c r="T2078" s="6">
        <v>30</v>
      </c>
    </row>
    <row r="2079" spans="1:20" s="8" customFormat="1" ht="51" customHeight="1">
      <c r="A2079" s="4"/>
      <c r="B2079" s="6">
        <v>2063</v>
      </c>
      <c r="C2079" s="36" t="s">
        <v>714</v>
      </c>
      <c r="D2079" s="43" t="s">
        <v>2444</v>
      </c>
      <c r="E2079" s="6" t="s">
        <v>3056</v>
      </c>
      <c r="F2079" s="123" t="s">
        <v>3100</v>
      </c>
      <c r="G2079" s="6" t="s">
        <v>3101</v>
      </c>
      <c r="H2079" s="6" t="s">
        <v>3102</v>
      </c>
      <c r="I2079" s="6" t="s">
        <v>3103</v>
      </c>
      <c r="J2079" s="123" t="s">
        <v>3100</v>
      </c>
      <c r="K2079" s="6" t="s">
        <v>3101</v>
      </c>
      <c r="L2079" s="6" t="s">
        <v>595</v>
      </c>
      <c r="M2079" s="5" t="s">
        <v>648</v>
      </c>
      <c r="N2079" s="7">
        <v>18</v>
      </c>
      <c r="O2079" s="85">
        <f>P2079/N2079</f>
        <v>9100</v>
      </c>
      <c r="P2079" s="85">
        <v>163800</v>
      </c>
      <c r="Q2079" s="6" t="s">
        <v>505</v>
      </c>
      <c r="R2079" s="6" t="s">
        <v>505</v>
      </c>
      <c r="S2079" s="38">
        <v>151000000</v>
      </c>
      <c r="T2079" s="6">
        <v>30</v>
      </c>
    </row>
    <row r="2080" spans="1:20" s="8" customFormat="1" ht="51" customHeight="1">
      <c r="A2080" s="4"/>
      <c r="B2080" s="6">
        <v>2064</v>
      </c>
      <c r="C2080" s="36" t="s">
        <v>714</v>
      </c>
      <c r="D2080" s="43" t="s">
        <v>2444</v>
      </c>
      <c r="E2080" s="6" t="s">
        <v>3104</v>
      </c>
      <c r="F2080" s="12" t="s">
        <v>3107</v>
      </c>
      <c r="G2080" s="6" t="s">
        <v>3105</v>
      </c>
      <c r="H2080" s="6" t="s">
        <v>3108</v>
      </c>
      <c r="I2080" s="6" t="s">
        <v>3106</v>
      </c>
      <c r="J2080" s="6" t="s">
        <v>3099</v>
      </c>
      <c r="K2080" s="6" t="s">
        <v>3098</v>
      </c>
      <c r="L2080" s="6" t="s">
        <v>595</v>
      </c>
      <c r="M2080" s="5" t="s">
        <v>648</v>
      </c>
      <c r="N2080" s="7">
        <v>18</v>
      </c>
      <c r="O2080" s="85">
        <f>P2080/N2080</f>
        <v>6170</v>
      </c>
      <c r="P2080" s="85">
        <v>111060</v>
      </c>
      <c r="Q2080" s="6" t="s">
        <v>505</v>
      </c>
      <c r="R2080" s="6" t="s">
        <v>505</v>
      </c>
      <c r="S2080" s="38">
        <v>151000000</v>
      </c>
      <c r="T2080" s="6">
        <v>30</v>
      </c>
    </row>
    <row r="2081" spans="1:20" ht="51" outlineLevel="1">
      <c r="B2081" s="6">
        <v>2065</v>
      </c>
      <c r="C2081" s="16" t="s">
        <v>714</v>
      </c>
      <c r="D2081" s="6" t="s">
        <v>601</v>
      </c>
      <c r="E2081" s="6" t="s">
        <v>520</v>
      </c>
      <c r="F2081" s="70" t="s">
        <v>521</v>
      </c>
      <c r="G2081" s="70" t="s">
        <v>522</v>
      </c>
      <c r="H2081" s="70" t="s">
        <v>521</v>
      </c>
      <c r="I2081" s="70" t="s">
        <v>522</v>
      </c>
      <c r="J2081" s="70" t="s">
        <v>3110</v>
      </c>
      <c r="K2081" s="70" t="s">
        <v>3109</v>
      </c>
      <c r="L2081" s="6" t="s">
        <v>595</v>
      </c>
      <c r="M2081" s="12" t="s">
        <v>918</v>
      </c>
      <c r="N2081" s="26">
        <v>1</v>
      </c>
      <c r="O2081" s="57">
        <f>P2081/N2081</f>
        <v>600000</v>
      </c>
      <c r="P2081" s="62">
        <v>600000</v>
      </c>
      <c r="Q2081" s="6" t="s">
        <v>505</v>
      </c>
      <c r="R2081" s="6" t="s">
        <v>770</v>
      </c>
      <c r="S2081" s="38">
        <v>751710000</v>
      </c>
      <c r="T2081" s="26">
        <v>100</v>
      </c>
    </row>
    <row r="2082" spans="1:20" ht="89.25">
      <c r="B2082" s="6">
        <v>2066</v>
      </c>
      <c r="C2082" s="16" t="s">
        <v>714</v>
      </c>
      <c r="D2082" s="38" t="s">
        <v>601</v>
      </c>
      <c r="E2082" s="6" t="s">
        <v>1435</v>
      </c>
      <c r="F2082" s="70" t="s">
        <v>1955</v>
      </c>
      <c r="G2082" s="70" t="s">
        <v>1956</v>
      </c>
      <c r="H2082" s="70" t="s">
        <v>1955</v>
      </c>
      <c r="I2082" s="70" t="s">
        <v>1956</v>
      </c>
      <c r="J2082" s="70" t="s">
        <v>3113</v>
      </c>
      <c r="K2082" s="70" t="s">
        <v>3111</v>
      </c>
      <c r="L2082" s="6" t="s">
        <v>595</v>
      </c>
      <c r="M2082" s="12" t="s">
        <v>918</v>
      </c>
      <c r="N2082" s="26">
        <v>1</v>
      </c>
      <c r="O2082" s="57">
        <f>P2082/N2082</f>
        <v>1785714</v>
      </c>
      <c r="P2082" s="62">
        <v>1785714</v>
      </c>
      <c r="Q2082" s="6" t="s">
        <v>505</v>
      </c>
      <c r="R2082" s="16" t="s">
        <v>3112</v>
      </c>
      <c r="S2082" s="38" t="s">
        <v>1179</v>
      </c>
      <c r="T2082" s="26">
        <v>50</v>
      </c>
    </row>
    <row r="2083" spans="1:20" s="31" customFormat="1" ht="140.25">
      <c r="A2083" s="30"/>
      <c r="B2083" s="6">
        <v>2067</v>
      </c>
      <c r="C2083" s="6" t="s">
        <v>714</v>
      </c>
      <c r="D2083" s="52" t="s">
        <v>601</v>
      </c>
      <c r="E2083" s="12" t="s">
        <v>2643</v>
      </c>
      <c r="F2083" s="6" t="s">
        <v>521</v>
      </c>
      <c r="G2083" s="93" t="s">
        <v>2644</v>
      </c>
      <c r="H2083" s="6" t="s">
        <v>2664</v>
      </c>
      <c r="I2083" s="93" t="s">
        <v>2645</v>
      </c>
      <c r="J2083" s="70" t="s">
        <v>3115</v>
      </c>
      <c r="K2083" s="6" t="s">
        <v>3114</v>
      </c>
      <c r="L2083" s="6" t="s">
        <v>595</v>
      </c>
      <c r="M2083" s="6" t="s">
        <v>918</v>
      </c>
      <c r="N2083" s="6">
        <v>1</v>
      </c>
      <c r="O2083" s="57">
        <f t="shared" ref="O2083" si="72">P2083/N2083</f>
        <v>2714286</v>
      </c>
      <c r="P2083" s="57">
        <v>2714286</v>
      </c>
      <c r="Q2083" s="6" t="s">
        <v>505</v>
      </c>
      <c r="R2083" s="16" t="s">
        <v>3112</v>
      </c>
      <c r="S2083" s="38" t="s">
        <v>1179</v>
      </c>
      <c r="T2083" s="26">
        <v>50</v>
      </c>
    </row>
    <row r="2084" spans="1:20" ht="89.25">
      <c r="B2084" s="6">
        <v>2068</v>
      </c>
      <c r="C2084" s="16" t="s">
        <v>714</v>
      </c>
      <c r="D2084" s="38" t="s">
        <v>601</v>
      </c>
      <c r="E2084" s="6" t="s">
        <v>528</v>
      </c>
      <c r="F2084" s="70" t="s">
        <v>1963</v>
      </c>
      <c r="G2084" s="70" t="s">
        <v>529</v>
      </c>
      <c r="H2084" s="70" t="s">
        <v>1964</v>
      </c>
      <c r="I2084" s="70" t="s">
        <v>530</v>
      </c>
      <c r="J2084" s="70" t="s">
        <v>3118</v>
      </c>
      <c r="K2084" s="70" t="s">
        <v>3117</v>
      </c>
      <c r="L2084" s="70" t="s">
        <v>595</v>
      </c>
      <c r="M2084" s="12" t="s">
        <v>918</v>
      </c>
      <c r="N2084" s="26">
        <v>1</v>
      </c>
      <c r="O2084" s="57">
        <f>P2084/N2084</f>
        <v>2000000</v>
      </c>
      <c r="P2084" s="62">
        <v>2000000</v>
      </c>
      <c r="Q2084" s="5" t="s">
        <v>505</v>
      </c>
      <c r="R2084" s="6" t="s">
        <v>3116</v>
      </c>
      <c r="S2084" s="38" t="s">
        <v>1179</v>
      </c>
      <c r="T2084" s="26">
        <v>50</v>
      </c>
    </row>
    <row r="2085" spans="1:20" ht="89.25">
      <c r="B2085" s="6">
        <v>2069</v>
      </c>
      <c r="C2085" s="16" t="s">
        <v>714</v>
      </c>
      <c r="D2085" s="38" t="s">
        <v>601</v>
      </c>
      <c r="E2085" s="6" t="s">
        <v>528</v>
      </c>
      <c r="F2085" s="70" t="s">
        <v>1963</v>
      </c>
      <c r="G2085" s="70" t="s">
        <v>529</v>
      </c>
      <c r="H2085" s="70" t="s">
        <v>1964</v>
      </c>
      <c r="I2085" s="70" t="s">
        <v>530</v>
      </c>
      <c r="J2085" s="70" t="s">
        <v>3118</v>
      </c>
      <c r="K2085" s="70" t="s">
        <v>3117</v>
      </c>
      <c r="L2085" s="70" t="s">
        <v>595</v>
      </c>
      <c r="M2085" s="12" t="s">
        <v>918</v>
      </c>
      <c r="N2085" s="26">
        <v>1</v>
      </c>
      <c r="O2085" s="57">
        <f>P2085/N2085</f>
        <v>2000000</v>
      </c>
      <c r="P2085" s="62">
        <v>2000000</v>
      </c>
      <c r="Q2085" s="5" t="s">
        <v>505</v>
      </c>
      <c r="R2085" s="6" t="s">
        <v>3116</v>
      </c>
      <c r="S2085" s="38">
        <v>751710000</v>
      </c>
      <c r="T2085" s="26">
        <v>50</v>
      </c>
    </row>
    <row r="2086" spans="1:20" s="34" customFormat="1">
      <c r="A2086" s="29"/>
      <c r="B2086" s="25"/>
      <c r="C2086" s="25"/>
      <c r="D2086" s="25"/>
      <c r="E2086" s="25"/>
      <c r="F2086" s="25"/>
      <c r="G2086" s="25"/>
      <c r="H2086" s="25"/>
      <c r="I2086" s="25"/>
      <c r="J2086" s="25"/>
      <c r="K2086" s="25"/>
      <c r="L2086" s="25"/>
      <c r="M2086" s="25"/>
      <c r="N2086" s="25"/>
      <c r="O2086" s="25"/>
      <c r="P2086" s="86">
        <f>SUM(P17:P2085)</f>
        <v>2874821973.4300003</v>
      </c>
      <c r="Q2086" s="25"/>
      <c r="R2086" s="33"/>
      <c r="S2086" s="25"/>
      <c r="T2086" s="32"/>
    </row>
    <row r="2087" spans="1:20">
      <c r="Q2087" s="28"/>
    </row>
    <row r="2088" spans="1:20">
      <c r="C2088" s="1" t="s">
        <v>2362</v>
      </c>
    </row>
    <row r="2090" spans="1:20">
      <c r="P2090" s="28"/>
    </row>
  </sheetData>
  <autoFilter ref="L1:S2094"/>
  <mergeCells count="6">
    <mergeCell ref="B6:D6"/>
    <mergeCell ref="E6:F6"/>
    <mergeCell ref="B7:D7"/>
    <mergeCell ref="E7:F7"/>
    <mergeCell ref="B8:D8"/>
    <mergeCell ref="E8:F8"/>
  </mergeCells>
  <dataValidations count="1">
    <dataValidation allowBlank="1" showInputMessage="1" showErrorMessage="1" prompt="Введите краткую хар-ку на рус.языке" sqref="WVD1422 F2058:K2058 G1994:G1996 G1062:G1072 F1089:G1105 G1057:G1060 H1090:H1105 I1404:I1433 F1938 IR1406 SN1406 ACJ1406 AMF1406 AWB1406 BFX1406 BPT1406 BZP1406 CJL1406 CTH1406 DDD1406 DMZ1406 DWV1406 EGR1406 EQN1406 FAJ1406 FKF1406 FUB1406 GDX1406 GNT1406 GXP1406 HHL1406 HRH1406 IBD1406 IKZ1406 IUV1406 JER1406 JON1406 JYJ1406 KIF1406 KSB1406 LBX1406 LLT1406 LVP1406 MFL1406 MPH1406 MZD1406 NIZ1406 NSV1406 OCR1406 OMN1406 OWJ1406 PGF1406 PQB1406 PZX1406 QJT1406 QTP1406 RDL1406 RNH1406 RXD1406 SGZ1406 SQV1406 TAR1406 TKN1406 TUJ1406 UEF1406 UOB1406 UXX1406 VHT1406 VRP1406 WBL1406 WLH1406 WVD1406 IR1422 SN1422 ACJ1422 AMF1422 AWB1422 BFX1422 BPT1422 BZP1422 CJL1422 CTH1422 DDD1422 DMZ1422 DWV1422 EGR1422 EQN1422 FAJ1422 FKF1422 FUB1422 GDX1422 GNT1422 GXP1422 HHL1422 HRH1422 IBD1422 IKZ1422 IUV1422 JER1422 JON1422 JYJ1422 KIF1422 KSB1422 LBX1422 LLT1422 LVP1422 MFL1422 MPH1422 MZD1422 NIZ1422 NSV1422 OCR1422 OMN1422 OWJ1422 PGF1422 PQB1422 PZX1422 QJT1422 QTP1422 RDL1422 RNH1422 RXD1422 SGZ1422 SQV1422 TAR1422 TKN1422 TUJ1422 UEF1422 UOB1422 UXX1422 VHT1422 VRP1422 WBL1422 WLH1422 NIX1099 MZB1099 MPF1099 MFJ1099 LVN1099 LLR1099 LBV1099 KRZ1099 KID1099 JYH1099 JOL1099 JEP1099 IUT1099 IKX1099 IBB1099 HRF1099 HHJ1099 GXN1099 GNR1099 GDV1099 FTZ1099 FKD1099 FAH1099 EQL1099 EGP1099 DWT1099 DMX1099 DDB1099 CTF1099 CJJ1099 BZN1099 BPR1099 BFV1099 AVZ1099 AMD1099 ACH1099 SL1099 IP1099 WVA1081:WVB1081 WLE1081:WLF1081 WBI1081:WBJ1081 VRM1081:VRN1081 VHQ1081:VHR1081 UXU1081:UXV1081 UNY1081:UNZ1081 UEC1081:UED1081 TUG1081:TUH1081 TKK1081:TKL1081 TAO1081:TAP1081 SQS1081:SQT1081 SGW1081:SGX1081 RXA1081:RXB1081 RNE1081:RNF1081 RDI1081:RDJ1081 QTM1081:QTN1081 QJQ1081:QJR1081 PZU1081:PZV1081 PPY1081:PPZ1081 PGC1081:PGD1081 OWG1081:OWH1081 OMK1081:OML1081 OCO1081:OCP1081 NSS1081:NST1081 NIW1081:NIX1081 MZA1081:MZB1081 MPE1081:MPF1081 MFI1081:MFJ1081 LVM1081:LVN1081 LLQ1081:LLR1081 LBU1081:LBV1081 KRY1081:KRZ1081 KIC1081:KID1081 JYG1081:JYH1081 JOK1081:JOL1081 JEO1081:JEP1081 IUS1081:IUT1081 IKW1081:IKX1081 IBA1081:IBB1081 HRE1081:HRF1081 HHI1081:HHJ1081 GXM1081:GXN1081 GNQ1081:GNR1081 GDU1081:GDV1081 FTY1081:FTZ1081 FKC1081:FKD1081 FAG1081:FAH1081 EQK1081:EQL1081 EGO1081:EGP1081 DWS1081:DWT1081 DMW1081:DMX1081 DDA1081:DDB1081 CTE1081:CTF1081 CJI1081:CJJ1081 BZM1081:BZN1081 BPQ1081:BPR1081 BFU1081:BFV1081 AVY1081:AVZ1081 AMC1081:AMD1081 ACG1081:ACH1081 SK1081:SL1081 IO1081:IP1081 WLE1066 WBI1066 VRM1066 VHQ1066 UXU1066 UNY1066 UEC1066 TUG1066 TKK1066 TAO1066 SQS1066 SGW1066 RXA1066 RNE1066 RDI1066 QTM1066 QJQ1066 PZU1066 PPY1066 PGC1066 OWG1066 OMK1066 OCO1066 NSS1066 NIW1066 MZA1066 MPE1066 MFI1066 LVM1066 LLQ1066 LBU1066 KRY1066 KIC1066 JYG1066 JOK1066 JEO1066 IUS1066 IKW1066 IBA1066 HRE1066 HHI1066 GXM1066 GNQ1066 GDU1066 FTY1066 FKC1066 FAG1066 EQK1066 EGO1066 DWS1066 DMW1066 DDA1066 CTE1066 CJI1066 BZM1066 BPQ1066 BFU1066 AVY1066 AMC1066 ACG1066 SK1066 IO1066 SGX1099 RDJ1099 UNZ1099 QTN1099 QJR1099 WVB1099 PZV1099 WVA1066 PPZ1099 RXB1099 UED1099 UXV1099 TUH1099 WLF1099 PGD1099 TKL1099 TAP1099 OWH1099 OML1099 OCP1099 SQT1099 WBJ1099 WVA1063:WVB1063 WLE1078:WLF1078 WBI1078:WBJ1078 VRM1078:VRN1078 VHQ1078:VHR1078 UXU1078:UXV1078 UNY1078:UNZ1078 UEC1078:UED1078 TUG1078:TUH1078 TKK1078:TKL1078 TAO1078:TAP1078 SQS1078:SQT1078 SGW1078:SGX1078 RXA1078:RXB1078 RNE1078:RNF1078 RDI1078:RDJ1078 QTM1078:QTN1078 QJQ1078:QJR1078 PZU1078:PZV1078 PPY1078:PPZ1078 PGC1078:PGD1078 OWG1078:OWH1078 OMK1078:OML1078 OCO1078:OCP1078 NSS1078:NST1078 NIW1078:NIX1078 MZA1078:MZB1078 MPE1078:MPF1078 MFI1078:MFJ1078 LVM1078:LVN1078 LLQ1078:LLR1078 LBU1078:LBV1078 KRY1078:KRZ1078 KIC1078:KID1078 JYG1078:JYH1078 JOK1078:JOL1078 JEO1078:JEP1078 IUS1078:IUT1078 IKW1078:IKX1078 IBA1078:IBB1078 HRE1078:HRF1078 HHI1078:HHJ1078 GXM1078:GXN1078 GNQ1078:GNR1078 GDU1078:GDV1078 FTY1078:FTZ1078 FKC1078:FKD1078 FAG1078:FAH1078 EQK1078:EQL1078 EGO1078:EGP1078 DWS1078:DWT1078 DMW1078:DMX1078 DDA1078:DDB1078 CTE1078:CTF1078 CJI1078:CJJ1078 BZM1078:BZN1078 BPQ1078:BPR1078 BFU1078:BFV1078 AVY1078:AVZ1078 AMC1078:AMD1078 ACG1078:ACH1078 SK1078:SL1078 IO1078:IP1078 WVA1078:WVB1078 WLE1063:WLF1063 WBI1063:WBJ1063 VRM1063:VRN1063 VHQ1063:VHR1063 UXU1063:UXV1063 UNY1063:UNZ1063 UEC1063:UED1063 TUG1063:TUH1063 TKK1063:TKL1063 TAO1063:TAP1063 SQS1063:SQT1063 SGW1063:SGX1063 RXA1063:RXB1063 RNE1063:RNF1063 RDI1063:RDJ1063 QTM1063:QTN1063 QJQ1063:QJR1063 PZU1063:PZV1063 PPY1063:PPZ1063 PGC1063:PGD1063 OWG1063:OWH1063 OMK1063:OML1063 OCO1063:OCP1063 NSS1063:NST1063 NIW1063:NIX1063 MZA1063:MZB1063 MPE1063:MPF1063 MFI1063:MFJ1063 LVM1063:LVN1063 LLQ1063:LLR1063 LBU1063:LBV1063 KRY1063:KRZ1063 KIC1063:KID1063 JYG1063:JYH1063 JOK1063:JOL1063 JEO1063:JEP1063 IUS1063:IUT1063 IKW1063:IKX1063 IBA1063:IBB1063 HRE1063:HRF1063 HHI1063:HHJ1063 GXM1063:GXN1063 GNQ1063:GNR1063 GDU1063:GDV1063 FTY1063:FTZ1063 FKC1063:FKD1063 FAG1063:FAH1063 EQK1063:EQL1063 EGO1063:EGP1063 DWS1063:DWT1063 DMW1063:DMX1063 DDA1063:DDB1063 CTE1063:CTF1063 CJI1063:CJJ1063 BZM1063:BZN1063 BPQ1063:BPR1063 BFU1063:BFV1063 AVY1063:AVZ1063 AMC1063:AMD1063 ACG1063:ACH1063 SK1063:SL1063 IO1063:IP1063 VRN1099 RNF1099 VHR1099 NST1099 F2083"/>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T117"/>
  <sheetViews>
    <sheetView topLeftCell="A99" zoomScale="60" zoomScaleNormal="60" zoomScaleSheetLayoutView="70" zoomScalePageLayoutView="70" workbookViewId="0">
      <selection activeCell="L110" sqref="L110"/>
    </sheetView>
  </sheetViews>
  <sheetFormatPr defaultColWidth="31.85546875" defaultRowHeight="12.75" outlineLevelRow="1" outlineLevelCol="1"/>
  <cols>
    <col min="1" max="1" width="0.140625" style="17" customWidth="1"/>
    <col min="2" max="2" width="8.7109375" style="35" customWidth="1" outlineLevel="1"/>
    <col min="3" max="3" width="8.42578125" style="61" customWidth="1" outlineLevel="1"/>
    <col min="4" max="4" width="8.28515625" style="61" customWidth="1" outlineLevel="1"/>
    <col min="5" max="5" width="13.5703125" style="61" customWidth="1"/>
    <col min="6" max="6" width="23.85546875" style="61" customWidth="1" outlineLevel="1"/>
    <col min="7" max="7" width="21.85546875" style="61" customWidth="1" outlineLevel="1"/>
    <col min="8" max="8" width="25" style="61" customWidth="1" outlineLevel="1"/>
    <col min="9" max="10" width="24.7109375" style="61" customWidth="1" outlineLevel="1"/>
    <col min="11" max="11" width="21.7109375" style="61" customWidth="1"/>
    <col min="12" max="12" width="12.85546875" style="61" customWidth="1" outlineLevel="1"/>
    <col min="13" max="13" width="10.85546875" style="61" customWidth="1"/>
    <col min="14" max="14" width="9" style="61" customWidth="1" outlineLevel="1"/>
    <col min="15" max="15" width="14.85546875" style="61" customWidth="1" outlineLevel="1"/>
    <col min="16" max="16" width="16" style="61" customWidth="1" outlineLevel="1"/>
    <col min="17" max="17" width="11.28515625" style="61" customWidth="1" outlineLevel="1"/>
    <col min="18" max="18" width="15.5703125" style="27" customWidth="1" outlineLevel="1"/>
    <col min="19" max="19" width="11.85546875" style="61" customWidth="1"/>
    <col min="20" max="20" width="9.140625" style="28" customWidth="1"/>
    <col min="21" max="16384" width="31.85546875" style="61"/>
  </cols>
  <sheetData>
    <row r="1" spans="1:20">
      <c r="B1" s="17"/>
    </row>
    <row r="2" spans="1:20" s="1" customFormat="1">
      <c r="A2" s="3"/>
      <c r="B2" s="71" t="s">
        <v>2352</v>
      </c>
      <c r="G2" s="72"/>
      <c r="H2" s="72"/>
      <c r="I2" s="2"/>
      <c r="J2" s="2"/>
      <c r="K2" s="2"/>
      <c r="L2" s="3"/>
      <c r="M2" s="3"/>
      <c r="N2" s="73"/>
      <c r="O2" s="73"/>
      <c r="P2" s="73"/>
      <c r="Q2" s="3"/>
      <c r="R2" s="3"/>
      <c r="S2" s="3"/>
      <c r="T2" s="50"/>
    </row>
    <row r="3" spans="1:20" s="1" customFormat="1">
      <c r="A3" s="3"/>
      <c r="B3" s="3"/>
      <c r="G3" s="72"/>
      <c r="H3" s="72"/>
      <c r="I3" s="2"/>
      <c r="J3" s="2"/>
      <c r="K3" s="2"/>
      <c r="L3" s="3"/>
      <c r="M3" s="3"/>
      <c r="N3" s="73"/>
      <c r="O3" s="73"/>
      <c r="P3" s="73"/>
      <c r="Q3" s="3"/>
      <c r="R3" s="3"/>
      <c r="S3" s="3"/>
      <c r="T3" s="50"/>
    </row>
    <row r="4" spans="1:20" s="1" customFormat="1">
      <c r="A4" s="3"/>
      <c r="B4" s="50" t="s">
        <v>2353</v>
      </c>
      <c r="G4" s="72"/>
      <c r="H4" s="72"/>
      <c r="I4" s="2"/>
      <c r="J4" s="2"/>
      <c r="K4" s="2"/>
      <c r="L4" s="3"/>
      <c r="M4" s="3"/>
      <c r="N4" s="73"/>
      <c r="O4" s="73"/>
      <c r="P4" s="73"/>
      <c r="Q4" s="3"/>
      <c r="R4" s="3"/>
      <c r="S4" s="3"/>
      <c r="T4" s="50"/>
    </row>
    <row r="5" spans="1:20" s="1" customFormat="1" ht="13.5" thickBot="1">
      <c r="A5" s="3"/>
      <c r="B5" s="3"/>
      <c r="G5" s="72"/>
      <c r="H5" s="72"/>
      <c r="I5" s="2"/>
      <c r="J5" s="2"/>
      <c r="K5" s="2"/>
      <c r="L5" s="3"/>
      <c r="M5" s="3"/>
      <c r="N5" s="73"/>
      <c r="O5" s="73"/>
      <c r="P5" s="73"/>
      <c r="Q5" s="3"/>
      <c r="R5" s="3"/>
      <c r="S5" s="3"/>
      <c r="T5" s="50"/>
    </row>
    <row r="6" spans="1:20" s="1" customFormat="1" ht="39" thickBot="1">
      <c r="A6" s="3"/>
      <c r="B6" s="162" t="s">
        <v>2354</v>
      </c>
      <c r="C6" s="163"/>
      <c r="D6" s="164"/>
      <c r="E6" s="162" t="s">
        <v>2355</v>
      </c>
      <c r="F6" s="163"/>
      <c r="G6" s="74" t="s">
        <v>2356</v>
      </c>
      <c r="H6" s="74" t="s">
        <v>2357</v>
      </c>
      <c r="I6" s="74" t="s">
        <v>2358</v>
      </c>
      <c r="J6" s="3"/>
      <c r="K6" s="73"/>
      <c r="L6" s="3"/>
      <c r="M6" s="75"/>
      <c r="N6" s="3"/>
      <c r="O6" s="3"/>
      <c r="P6" s="3"/>
      <c r="Q6" s="50"/>
    </row>
    <row r="7" spans="1:20" s="1" customFormat="1" ht="13.5" thickBot="1">
      <c r="A7" s="3"/>
      <c r="B7" s="165">
        <v>1</v>
      </c>
      <c r="C7" s="166"/>
      <c r="D7" s="167"/>
      <c r="E7" s="165">
        <v>2</v>
      </c>
      <c r="F7" s="166"/>
      <c r="G7" s="76">
        <v>3</v>
      </c>
      <c r="H7" s="76">
        <v>4</v>
      </c>
      <c r="I7" s="76">
        <v>5</v>
      </c>
      <c r="J7" s="3"/>
      <c r="K7" s="73"/>
      <c r="L7" s="3"/>
      <c r="M7" s="75"/>
      <c r="N7" s="3"/>
      <c r="O7" s="3"/>
      <c r="P7" s="3"/>
      <c r="Q7" s="50"/>
    </row>
    <row r="8" spans="1:20" s="1" customFormat="1" ht="42" customHeight="1" thickBot="1">
      <c r="A8" s="3"/>
      <c r="B8" s="168">
        <v>970840000277</v>
      </c>
      <c r="C8" s="169"/>
      <c r="D8" s="170"/>
      <c r="E8" s="168">
        <v>600500050605</v>
      </c>
      <c r="F8" s="169"/>
      <c r="G8" s="77" t="s">
        <v>2359</v>
      </c>
      <c r="H8" s="78" t="s">
        <v>2360</v>
      </c>
      <c r="I8" s="78">
        <v>2014</v>
      </c>
      <c r="J8" s="3"/>
      <c r="K8" s="73"/>
      <c r="L8" s="3"/>
      <c r="M8" s="75"/>
      <c r="N8" s="3"/>
      <c r="O8" s="3"/>
      <c r="P8" s="3"/>
      <c r="Q8" s="50"/>
    </row>
    <row r="9" spans="1:20" s="1" customFormat="1">
      <c r="A9" s="3"/>
      <c r="B9" s="3"/>
      <c r="G9" s="72"/>
      <c r="H9" s="72"/>
      <c r="I9" s="2"/>
      <c r="J9" s="2"/>
      <c r="K9" s="2"/>
      <c r="L9" s="3"/>
      <c r="M9" s="3"/>
      <c r="N9" s="73"/>
      <c r="O9" s="73"/>
      <c r="P9" s="73"/>
      <c r="Q9" s="3"/>
      <c r="R9" s="3"/>
      <c r="S9" s="3"/>
      <c r="T9" s="50"/>
    </row>
    <row r="10" spans="1:20" s="1" customFormat="1">
      <c r="A10" s="3"/>
      <c r="B10" s="3"/>
      <c r="E10" s="50"/>
      <c r="F10" s="50"/>
      <c r="G10" s="79"/>
      <c r="H10" s="79"/>
      <c r="I10" s="54"/>
      <c r="J10" s="54"/>
      <c r="K10" s="54"/>
      <c r="L10" s="50"/>
      <c r="M10" s="54"/>
      <c r="N10" s="80"/>
      <c r="O10" s="80"/>
      <c r="P10" s="80"/>
      <c r="R10" s="50"/>
      <c r="S10" s="50"/>
      <c r="T10" s="50"/>
    </row>
    <row r="11" spans="1:20" s="1" customFormat="1" ht="15.75">
      <c r="A11" s="3"/>
      <c r="B11" s="71" t="s">
        <v>2361</v>
      </c>
      <c r="C11" s="71"/>
      <c r="D11" s="71"/>
      <c r="E11" s="71"/>
      <c r="F11" s="71"/>
      <c r="G11" s="79"/>
      <c r="H11" s="79"/>
      <c r="I11" s="79"/>
      <c r="J11" s="79"/>
      <c r="K11" s="79"/>
      <c r="L11" s="71"/>
      <c r="M11" s="81"/>
      <c r="N11" s="82"/>
      <c r="O11" s="82"/>
      <c r="P11" s="83" t="s">
        <v>3120</v>
      </c>
      <c r="R11" s="71"/>
      <c r="S11" s="71"/>
      <c r="T11" s="50"/>
    </row>
    <row r="12" spans="1:20">
      <c r="B12" s="17"/>
    </row>
    <row r="13" spans="1:20" ht="13.5" thickBot="1">
      <c r="B13" s="17"/>
      <c r="E13" s="17"/>
      <c r="F13" s="17"/>
      <c r="G13" s="17"/>
      <c r="H13" s="17"/>
      <c r="I13" s="17"/>
      <c r="J13" s="17"/>
      <c r="K13" s="17"/>
      <c r="L13" s="17"/>
      <c r="M13" s="17"/>
      <c r="N13" s="17"/>
      <c r="O13" s="17"/>
      <c r="P13" s="29"/>
      <c r="Q13" s="29"/>
      <c r="S13" s="17"/>
    </row>
    <row r="14" spans="1:20" ht="50.25" customHeight="1">
      <c r="B14" s="18" t="s">
        <v>350</v>
      </c>
      <c r="C14" s="18" t="s">
        <v>351</v>
      </c>
      <c r="D14" s="18" t="s">
        <v>352</v>
      </c>
      <c r="E14" s="18" t="s">
        <v>353</v>
      </c>
      <c r="F14" s="18" t="s">
        <v>354</v>
      </c>
      <c r="G14" s="18" t="s">
        <v>355</v>
      </c>
      <c r="H14" s="18" t="s">
        <v>356</v>
      </c>
      <c r="I14" s="18" t="s">
        <v>357</v>
      </c>
      <c r="J14" s="18" t="s">
        <v>358</v>
      </c>
      <c r="K14" s="18" t="s">
        <v>359</v>
      </c>
      <c r="L14" s="18" t="s">
        <v>0</v>
      </c>
      <c r="M14" s="18" t="s">
        <v>360</v>
      </c>
      <c r="N14" s="19" t="s">
        <v>361</v>
      </c>
      <c r="O14" s="18" t="s">
        <v>362</v>
      </c>
      <c r="P14" s="19" t="s">
        <v>363</v>
      </c>
      <c r="Q14" s="18" t="s">
        <v>364</v>
      </c>
      <c r="R14" s="18" t="s">
        <v>365</v>
      </c>
      <c r="S14" s="18" t="s">
        <v>366</v>
      </c>
      <c r="T14" s="18" t="s">
        <v>367</v>
      </c>
    </row>
    <row r="15" spans="1:20" ht="13.5" thickBot="1">
      <c r="B15" s="20"/>
      <c r="C15" s="20"/>
      <c r="D15" s="20"/>
      <c r="E15" s="20"/>
      <c r="F15" s="20"/>
      <c r="G15" s="20"/>
      <c r="H15" s="20"/>
      <c r="I15" s="20"/>
      <c r="J15" s="20"/>
      <c r="K15" s="20"/>
      <c r="L15" s="20"/>
      <c r="M15" s="20"/>
      <c r="N15" s="21"/>
      <c r="O15" s="20"/>
      <c r="P15" s="21"/>
      <c r="Q15" s="20"/>
      <c r="R15" s="20"/>
      <c r="S15" s="20"/>
      <c r="T15" s="20"/>
    </row>
    <row r="16" spans="1:20" s="31" customFormat="1" ht="13.5" thickBot="1">
      <c r="A16" s="30"/>
      <c r="B16" s="22">
        <v>1</v>
      </c>
      <c r="C16" s="23">
        <v>2</v>
      </c>
      <c r="D16" s="23">
        <v>3</v>
      </c>
      <c r="E16" s="23">
        <v>4</v>
      </c>
      <c r="F16" s="23">
        <v>5</v>
      </c>
      <c r="G16" s="23">
        <v>6</v>
      </c>
      <c r="H16" s="23">
        <v>7</v>
      </c>
      <c r="I16" s="23">
        <v>8</v>
      </c>
      <c r="J16" s="23">
        <v>9</v>
      </c>
      <c r="K16" s="23">
        <v>10</v>
      </c>
      <c r="L16" s="23">
        <v>11</v>
      </c>
      <c r="M16" s="23">
        <v>12</v>
      </c>
      <c r="N16" s="23">
        <v>13</v>
      </c>
      <c r="O16" s="23">
        <v>14</v>
      </c>
      <c r="P16" s="23">
        <v>15</v>
      </c>
      <c r="Q16" s="23">
        <v>16</v>
      </c>
      <c r="R16" s="23">
        <v>17</v>
      </c>
      <c r="S16" s="23">
        <v>18</v>
      </c>
      <c r="T16" s="24">
        <v>19</v>
      </c>
    </row>
    <row r="17" spans="1:20" s="114" customFormat="1" ht="63.75">
      <c r="A17" s="116"/>
      <c r="B17" s="106">
        <v>8</v>
      </c>
      <c r="C17" s="107" t="s">
        <v>714</v>
      </c>
      <c r="D17" s="155" t="s">
        <v>715</v>
      </c>
      <c r="E17" s="110" t="s">
        <v>1199</v>
      </c>
      <c r="F17" s="109" t="s">
        <v>1550</v>
      </c>
      <c r="G17" s="109" t="s">
        <v>1200</v>
      </c>
      <c r="H17" s="109" t="s">
        <v>1551</v>
      </c>
      <c r="I17" s="109" t="s">
        <v>1201</v>
      </c>
      <c r="J17" s="109" t="s">
        <v>1552</v>
      </c>
      <c r="K17" s="109" t="s">
        <v>135</v>
      </c>
      <c r="L17" s="109" t="s">
        <v>595</v>
      </c>
      <c r="M17" s="106" t="s">
        <v>648</v>
      </c>
      <c r="N17" s="156">
        <v>1</v>
      </c>
      <c r="O17" s="112">
        <v>3136502</v>
      </c>
      <c r="P17" s="113">
        <f t="shared" ref="P17:P29" si="0">N17*O17</f>
        <v>3136502</v>
      </c>
      <c r="Q17" s="157" t="s">
        <v>505</v>
      </c>
      <c r="R17" s="157" t="s">
        <v>1478</v>
      </c>
      <c r="S17" s="108" t="s">
        <v>1179</v>
      </c>
      <c r="T17" s="157">
        <v>30</v>
      </c>
    </row>
    <row r="18" spans="1:20" s="114" customFormat="1" ht="63.75">
      <c r="A18" s="116"/>
      <c r="B18" s="106">
        <v>11</v>
      </c>
      <c r="C18" s="107" t="s">
        <v>714</v>
      </c>
      <c r="D18" s="155" t="s">
        <v>715</v>
      </c>
      <c r="E18" s="110" t="s">
        <v>1209</v>
      </c>
      <c r="F18" s="109" t="s">
        <v>1555</v>
      </c>
      <c r="G18" s="109" t="s">
        <v>1206</v>
      </c>
      <c r="H18" s="109" t="s">
        <v>1574</v>
      </c>
      <c r="I18" s="109" t="s">
        <v>1210</v>
      </c>
      <c r="J18" s="109" t="s">
        <v>1556</v>
      </c>
      <c r="K18" s="109" t="s">
        <v>1211</v>
      </c>
      <c r="L18" s="109" t="s">
        <v>1490</v>
      </c>
      <c r="M18" s="108" t="s">
        <v>648</v>
      </c>
      <c r="N18" s="156">
        <v>14</v>
      </c>
      <c r="O18" s="112">
        <v>1256357</v>
      </c>
      <c r="P18" s="113">
        <f t="shared" si="0"/>
        <v>17588998</v>
      </c>
      <c r="Q18" s="157" t="s">
        <v>506</v>
      </c>
      <c r="R18" s="157" t="s">
        <v>1478</v>
      </c>
      <c r="S18" s="108" t="s">
        <v>1179</v>
      </c>
      <c r="T18" s="157">
        <v>0</v>
      </c>
    </row>
    <row r="19" spans="1:20" s="114" customFormat="1" ht="127.5">
      <c r="A19" s="116"/>
      <c r="B19" s="106">
        <v>12</v>
      </c>
      <c r="C19" s="107" t="s">
        <v>714</v>
      </c>
      <c r="D19" s="155" t="s">
        <v>715</v>
      </c>
      <c r="E19" s="110" t="s">
        <v>1212</v>
      </c>
      <c r="F19" s="109" t="s">
        <v>1558</v>
      </c>
      <c r="G19" s="109" t="s">
        <v>1213</v>
      </c>
      <c r="H19" s="109" t="s">
        <v>1559</v>
      </c>
      <c r="I19" s="109" t="s">
        <v>1214</v>
      </c>
      <c r="J19" s="109" t="s">
        <v>1560</v>
      </c>
      <c r="K19" s="109" t="s">
        <v>137</v>
      </c>
      <c r="L19" s="109" t="s">
        <v>595</v>
      </c>
      <c r="M19" s="108" t="s">
        <v>648</v>
      </c>
      <c r="N19" s="156">
        <v>109</v>
      </c>
      <c r="O19" s="112">
        <v>25446</v>
      </c>
      <c r="P19" s="113">
        <f t="shared" si="0"/>
        <v>2773614</v>
      </c>
      <c r="Q19" s="157" t="s">
        <v>506</v>
      </c>
      <c r="R19" s="157" t="s">
        <v>1478</v>
      </c>
      <c r="S19" s="108" t="s">
        <v>1179</v>
      </c>
      <c r="T19" s="157">
        <v>0</v>
      </c>
    </row>
    <row r="20" spans="1:20" s="114" customFormat="1" ht="63.75">
      <c r="A20" s="116"/>
      <c r="B20" s="106">
        <v>27</v>
      </c>
      <c r="C20" s="107" t="s">
        <v>714</v>
      </c>
      <c r="D20" s="155" t="s">
        <v>715</v>
      </c>
      <c r="E20" s="110" t="s">
        <v>1229</v>
      </c>
      <c r="F20" s="109" t="s">
        <v>1591</v>
      </c>
      <c r="G20" s="109" t="s">
        <v>1230</v>
      </c>
      <c r="H20" s="109" t="s">
        <v>1591</v>
      </c>
      <c r="I20" s="109" t="s">
        <v>1230</v>
      </c>
      <c r="J20" s="109" t="s">
        <v>1592</v>
      </c>
      <c r="K20" s="109" t="s">
        <v>181</v>
      </c>
      <c r="L20" s="109" t="s">
        <v>1490</v>
      </c>
      <c r="M20" s="108" t="s">
        <v>648</v>
      </c>
      <c r="N20" s="156">
        <v>1</v>
      </c>
      <c r="O20" s="112">
        <v>8874951</v>
      </c>
      <c r="P20" s="113">
        <f t="shared" si="0"/>
        <v>8874951</v>
      </c>
      <c r="Q20" s="157" t="s">
        <v>505</v>
      </c>
      <c r="R20" s="157" t="s">
        <v>1478</v>
      </c>
      <c r="S20" s="108" t="s">
        <v>1179</v>
      </c>
      <c r="T20" s="157">
        <v>30</v>
      </c>
    </row>
    <row r="21" spans="1:20" s="131" customFormat="1" ht="60" customHeight="1">
      <c r="A21" s="130"/>
      <c r="B21" s="106">
        <v>36</v>
      </c>
      <c r="C21" s="107" t="s">
        <v>714</v>
      </c>
      <c r="D21" s="155" t="s">
        <v>715</v>
      </c>
      <c r="E21" s="106" t="s">
        <v>980</v>
      </c>
      <c r="F21" s="109" t="s">
        <v>734</v>
      </c>
      <c r="G21" s="109" t="s">
        <v>735</v>
      </c>
      <c r="H21" s="109" t="s">
        <v>981</v>
      </c>
      <c r="I21" s="109" t="s">
        <v>982</v>
      </c>
      <c r="J21" s="109" t="s">
        <v>2117</v>
      </c>
      <c r="K21" s="109" t="s">
        <v>342</v>
      </c>
      <c r="L21" s="109" t="s">
        <v>595</v>
      </c>
      <c r="M21" s="108" t="s">
        <v>648</v>
      </c>
      <c r="N21" s="111">
        <v>3</v>
      </c>
      <c r="O21" s="112">
        <f>P21/N21</f>
        <v>0</v>
      </c>
      <c r="P21" s="113">
        <f>118713-118713</f>
        <v>0</v>
      </c>
      <c r="Q21" s="106" t="s">
        <v>616</v>
      </c>
      <c r="R21" s="106" t="s">
        <v>770</v>
      </c>
      <c r="S21" s="108" t="s">
        <v>2031</v>
      </c>
      <c r="T21" s="111">
        <v>50</v>
      </c>
    </row>
    <row r="22" spans="1:20" s="131" customFormat="1" ht="102">
      <c r="A22" s="116"/>
      <c r="B22" s="106">
        <v>37</v>
      </c>
      <c r="C22" s="107" t="s">
        <v>714</v>
      </c>
      <c r="D22" s="155" t="s">
        <v>715</v>
      </c>
      <c r="E22" s="160" t="s">
        <v>752</v>
      </c>
      <c r="F22" s="109" t="s">
        <v>983</v>
      </c>
      <c r="G22" s="109" t="s">
        <v>983</v>
      </c>
      <c r="H22" s="109" t="s">
        <v>2169</v>
      </c>
      <c r="I22" s="109" t="s">
        <v>755</v>
      </c>
      <c r="J22" s="109" t="s">
        <v>2118</v>
      </c>
      <c r="K22" s="109" t="s">
        <v>146</v>
      </c>
      <c r="L22" s="109" t="s">
        <v>595</v>
      </c>
      <c r="M22" s="108" t="s">
        <v>648</v>
      </c>
      <c r="N22" s="111">
        <v>2</v>
      </c>
      <c r="O22" s="112">
        <f>P22/N22</f>
        <v>28215</v>
      </c>
      <c r="P22" s="113">
        <f>56430</f>
        <v>56430</v>
      </c>
      <c r="Q22" s="106" t="s">
        <v>506</v>
      </c>
      <c r="R22" s="106" t="s">
        <v>1055</v>
      </c>
      <c r="S22" s="108" t="s">
        <v>2031</v>
      </c>
      <c r="T22" s="111">
        <v>50</v>
      </c>
    </row>
    <row r="23" spans="1:20" s="131" customFormat="1" ht="76.5">
      <c r="A23" s="116"/>
      <c r="B23" s="106">
        <v>39</v>
      </c>
      <c r="C23" s="115" t="s">
        <v>714</v>
      </c>
      <c r="D23" s="155" t="s">
        <v>715</v>
      </c>
      <c r="E23" s="115" t="s">
        <v>727</v>
      </c>
      <c r="F23" s="109" t="s">
        <v>878</v>
      </c>
      <c r="G23" s="109" t="s">
        <v>878</v>
      </c>
      <c r="H23" s="109" t="s">
        <v>879</v>
      </c>
      <c r="I23" s="109" t="s">
        <v>880</v>
      </c>
      <c r="J23" s="109" t="s">
        <v>2093</v>
      </c>
      <c r="K23" s="109" t="s">
        <v>343</v>
      </c>
      <c r="L23" s="109" t="s">
        <v>595</v>
      </c>
      <c r="M23" s="108" t="s">
        <v>648</v>
      </c>
      <c r="N23" s="111">
        <v>2</v>
      </c>
      <c r="O23" s="112">
        <v>34857</v>
      </c>
      <c r="P23" s="113">
        <f>69714-69714</f>
        <v>0</v>
      </c>
      <c r="Q23" s="106" t="s">
        <v>616</v>
      </c>
      <c r="R23" s="106" t="s">
        <v>1055</v>
      </c>
      <c r="S23" s="108" t="s">
        <v>2031</v>
      </c>
      <c r="T23" s="111">
        <v>50</v>
      </c>
    </row>
    <row r="24" spans="1:20" s="131" customFormat="1" ht="102">
      <c r="A24" s="116"/>
      <c r="B24" s="106">
        <v>40</v>
      </c>
      <c r="C24" s="115" t="s">
        <v>714</v>
      </c>
      <c r="D24" s="155" t="s">
        <v>715</v>
      </c>
      <c r="E24" s="115" t="s">
        <v>720</v>
      </c>
      <c r="F24" s="109" t="s">
        <v>878</v>
      </c>
      <c r="G24" s="109" t="s">
        <v>878</v>
      </c>
      <c r="H24" s="109" t="s">
        <v>881</v>
      </c>
      <c r="I24" s="109" t="s">
        <v>722</v>
      </c>
      <c r="J24" s="109" t="s">
        <v>2094</v>
      </c>
      <c r="K24" s="109" t="s">
        <v>344</v>
      </c>
      <c r="L24" s="109" t="s">
        <v>595</v>
      </c>
      <c r="M24" s="108" t="s">
        <v>648</v>
      </c>
      <c r="N24" s="111">
        <v>5</v>
      </c>
      <c r="O24" s="112">
        <v>39857</v>
      </c>
      <c r="P24" s="113">
        <f t="shared" si="0"/>
        <v>199285</v>
      </c>
      <c r="Q24" s="106" t="s">
        <v>506</v>
      </c>
      <c r="R24" s="106" t="s">
        <v>1055</v>
      </c>
      <c r="S24" s="108" t="s">
        <v>2031</v>
      </c>
      <c r="T24" s="111">
        <v>50</v>
      </c>
    </row>
    <row r="25" spans="1:20" s="131" customFormat="1" ht="63.75">
      <c r="A25" s="116"/>
      <c r="B25" s="106">
        <v>41</v>
      </c>
      <c r="C25" s="115" t="s">
        <v>714</v>
      </c>
      <c r="D25" s="155" t="s">
        <v>715</v>
      </c>
      <c r="E25" s="106" t="s">
        <v>984</v>
      </c>
      <c r="F25" s="109" t="s">
        <v>734</v>
      </c>
      <c r="G25" s="109" t="s">
        <v>172</v>
      </c>
      <c r="H25" s="109" t="s">
        <v>985</v>
      </c>
      <c r="I25" s="109" t="s">
        <v>986</v>
      </c>
      <c r="J25" s="109" t="s">
        <v>985</v>
      </c>
      <c r="K25" s="109" t="s">
        <v>345</v>
      </c>
      <c r="L25" s="109" t="s">
        <v>595</v>
      </c>
      <c r="M25" s="108" t="s">
        <v>648</v>
      </c>
      <c r="N25" s="111">
        <v>1</v>
      </c>
      <c r="O25" s="112">
        <f>P25/N25</f>
        <v>0</v>
      </c>
      <c r="P25" s="113">
        <f>73714-73714</f>
        <v>0</v>
      </c>
      <c r="Q25" s="106" t="s">
        <v>616</v>
      </c>
      <c r="R25" s="106" t="s">
        <v>1055</v>
      </c>
      <c r="S25" s="108" t="s">
        <v>2031</v>
      </c>
      <c r="T25" s="111">
        <v>50</v>
      </c>
    </row>
    <row r="26" spans="1:20" s="131" customFormat="1" ht="114.75">
      <c r="A26" s="116"/>
      <c r="B26" s="106">
        <v>44</v>
      </c>
      <c r="C26" s="107" t="s">
        <v>714</v>
      </c>
      <c r="D26" s="155" t="s">
        <v>715</v>
      </c>
      <c r="E26" s="110" t="s">
        <v>999</v>
      </c>
      <c r="F26" s="109" t="s">
        <v>734</v>
      </c>
      <c r="G26" s="109" t="s">
        <v>735</v>
      </c>
      <c r="H26" s="109" t="s">
        <v>1000</v>
      </c>
      <c r="I26" s="109" t="s">
        <v>1001</v>
      </c>
      <c r="J26" s="109" t="s">
        <v>2120</v>
      </c>
      <c r="K26" s="109" t="s">
        <v>346</v>
      </c>
      <c r="L26" s="109" t="s">
        <v>595</v>
      </c>
      <c r="M26" s="108" t="s">
        <v>648</v>
      </c>
      <c r="N26" s="111">
        <v>3</v>
      </c>
      <c r="O26" s="112">
        <f>P26/N26</f>
        <v>0</v>
      </c>
      <c r="P26" s="113">
        <f>58713-58713</f>
        <v>0</v>
      </c>
      <c r="Q26" s="106" t="s">
        <v>616</v>
      </c>
      <c r="R26" s="106" t="s">
        <v>770</v>
      </c>
      <c r="S26" s="108" t="s">
        <v>2031</v>
      </c>
      <c r="T26" s="111">
        <v>50</v>
      </c>
    </row>
    <row r="27" spans="1:20" s="131" customFormat="1" ht="89.25">
      <c r="A27" s="116"/>
      <c r="B27" s="106">
        <v>45</v>
      </c>
      <c r="C27" s="115" t="s">
        <v>714</v>
      </c>
      <c r="D27" s="155" t="s">
        <v>715</v>
      </c>
      <c r="E27" s="110" t="s">
        <v>949</v>
      </c>
      <c r="F27" s="109" t="s">
        <v>1534</v>
      </c>
      <c r="G27" s="109" t="s">
        <v>1534</v>
      </c>
      <c r="H27" s="109" t="s">
        <v>992</v>
      </c>
      <c r="I27" s="109" t="s">
        <v>950</v>
      </c>
      <c r="J27" s="109" t="s">
        <v>2121</v>
      </c>
      <c r="K27" s="109" t="s">
        <v>347</v>
      </c>
      <c r="L27" s="109" t="s">
        <v>595</v>
      </c>
      <c r="M27" s="108" t="s">
        <v>648</v>
      </c>
      <c r="N27" s="111">
        <v>3</v>
      </c>
      <c r="O27" s="112">
        <f>P27/N27</f>
        <v>0</v>
      </c>
      <c r="P27" s="113">
        <f>54429-54429</f>
        <v>0</v>
      </c>
      <c r="Q27" s="106" t="s">
        <v>616</v>
      </c>
      <c r="R27" s="106" t="s">
        <v>1055</v>
      </c>
      <c r="S27" s="108" t="s">
        <v>2031</v>
      </c>
      <c r="T27" s="111">
        <v>50</v>
      </c>
    </row>
    <row r="28" spans="1:20" s="131" customFormat="1" ht="89.25">
      <c r="A28" s="116"/>
      <c r="B28" s="106">
        <v>46</v>
      </c>
      <c r="C28" s="107" t="s">
        <v>714</v>
      </c>
      <c r="D28" s="155" t="s">
        <v>715</v>
      </c>
      <c r="E28" s="110" t="s">
        <v>993</v>
      </c>
      <c r="F28" s="109" t="s">
        <v>753</v>
      </c>
      <c r="G28" s="109" t="s">
        <v>753</v>
      </c>
      <c r="H28" s="109" t="s">
        <v>994</v>
      </c>
      <c r="I28" s="109" t="s">
        <v>995</v>
      </c>
      <c r="J28" s="109" t="s">
        <v>2123</v>
      </c>
      <c r="K28" s="109" t="s">
        <v>2122</v>
      </c>
      <c r="L28" s="109" t="s">
        <v>595</v>
      </c>
      <c r="M28" s="108" t="s">
        <v>648</v>
      </c>
      <c r="N28" s="111">
        <v>1</v>
      </c>
      <c r="O28" s="112">
        <f>P28/N28</f>
        <v>0</v>
      </c>
      <c r="P28" s="113">
        <f>53143-53143</f>
        <v>0</v>
      </c>
      <c r="Q28" s="106" t="s">
        <v>616</v>
      </c>
      <c r="R28" s="106" t="s">
        <v>1055</v>
      </c>
      <c r="S28" s="108" t="s">
        <v>2031</v>
      </c>
      <c r="T28" s="111">
        <v>50</v>
      </c>
    </row>
    <row r="29" spans="1:20" s="131" customFormat="1" ht="114.75">
      <c r="A29" s="116"/>
      <c r="B29" s="106">
        <v>48</v>
      </c>
      <c r="C29" s="107" t="s">
        <v>714</v>
      </c>
      <c r="D29" s="155" t="s">
        <v>715</v>
      </c>
      <c r="E29" s="110" t="s">
        <v>999</v>
      </c>
      <c r="F29" s="109" t="s">
        <v>734</v>
      </c>
      <c r="G29" s="109" t="s">
        <v>735</v>
      </c>
      <c r="H29" s="109" t="s">
        <v>1000</v>
      </c>
      <c r="I29" s="109" t="s">
        <v>1001</v>
      </c>
      <c r="J29" s="109" t="s">
        <v>2120</v>
      </c>
      <c r="K29" s="109" t="s">
        <v>348</v>
      </c>
      <c r="L29" s="109" t="s">
        <v>595</v>
      </c>
      <c r="M29" s="108" t="s">
        <v>648</v>
      </c>
      <c r="N29" s="111">
        <v>2</v>
      </c>
      <c r="O29" s="112">
        <v>19571</v>
      </c>
      <c r="P29" s="113">
        <f t="shared" si="0"/>
        <v>39142</v>
      </c>
      <c r="Q29" s="106" t="s">
        <v>702</v>
      </c>
      <c r="R29" s="106" t="s">
        <v>770</v>
      </c>
      <c r="S29" s="108" t="s">
        <v>2031</v>
      </c>
      <c r="T29" s="111">
        <v>50</v>
      </c>
    </row>
    <row r="30" spans="1:20" s="131" customFormat="1" ht="102">
      <c r="A30" s="116"/>
      <c r="B30" s="106">
        <v>49</v>
      </c>
      <c r="C30" s="107" t="s">
        <v>714</v>
      </c>
      <c r="D30" s="155" t="s">
        <v>715</v>
      </c>
      <c r="E30" s="160" t="s">
        <v>752</v>
      </c>
      <c r="F30" s="109" t="s">
        <v>983</v>
      </c>
      <c r="G30" s="109" t="s">
        <v>983</v>
      </c>
      <c r="H30" s="109" t="s">
        <v>754</v>
      </c>
      <c r="I30" s="109" t="s">
        <v>755</v>
      </c>
      <c r="J30" s="109" t="s">
        <v>2126</v>
      </c>
      <c r="K30" s="109" t="s">
        <v>2127</v>
      </c>
      <c r="L30" s="109" t="s">
        <v>595</v>
      </c>
      <c r="M30" s="108" t="s">
        <v>648</v>
      </c>
      <c r="N30" s="111">
        <v>1</v>
      </c>
      <c r="O30" s="112">
        <f>P30/N30</f>
        <v>0</v>
      </c>
      <c r="P30" s="113">
        <f>60286-60286</f>
        <v>0</v>
      </c>
      <c r="Q30" s="106" t="s">
        <v>616</v>
      </c>
      <c r="R30" s="106" t="s">
        <v>1055</v>
      </c>
      <c r="S30" s="108" t="s">
        <v>2031</v>
      </c>
      <c r="T30" s="111">
        <v>50</v>
      </c>
    </row>
    <row r="31" spans="1:20" s="114" customFormat="1" ht="102" outlineLevel="1">
      <c r="A31" s="116"/>
      <c r="B31" s="106">
        <v>88</v>
      </c>
      <c r="C31" s="107" t="s">
        <v>714</v>
      </c>
      <c r="D31" s="155" t="s">
        <v>715</v>
      </c>
      <c r="E31" s="115" t="s">
        <v>887</v>
      </c>
      <c r="F31" s="109" t="s">
        <v>170</v>
      </c>
      <c r="G31" s="109" t="s">
        <v>170</v>
      </c>
      <c r="H31" s="109" t="s">
        <v>889</v>
      </c>
      <c r="I31" s="109" t="s">
        <v>890</v>
      </c>
      <c r="J31" s="109" t="s">
        <v>888</v>
      </c>
      <c r="K31" s="109" t="s">
        <v>176</v>
      </c>
      <c r="L31" s="109" t="s">
        <v>595</v>
      </c>
      <c r="M31" s="108" t="s">
        <v>648</v>
      </c>
      <c r="N31" s="111">
        <v>5</v>
      </c>
      <c r="O31" s="112">
        <f>P31/N31</f>
        <v>0</v>
      </c>
      <c r="P31" s="113">
        <f>214950-210000-4950</f>
        <v>0</v>
      </c>
      <c r="Q31" s="106" t="s">
        <v>616</v>
      </c>
      <c r="R31" s="106" t="s">
        <v>505</v>
      </c>
      <c r="S31" s="108">
        <v>591000000</v>
      </c>
      <c r="T31" s="111">
        <v>100</v>
      </c>
    </row>
    <row r="32" spans="1:20" s="114" customFormat="1" ht="153" outlineLevel="1">
      <c r="A32" s="116"/>
      <c r="B32" s="106">
        <v>883</v>
      </c>
      <c r="C32" s="115" t="s">
        <v>714</v>
      </c>
      <c r="D32" s="106" t="s">
        <v>601</v>
      </c>
      <c r="E32" s="110" t="s">
        <v>1252</v>
      </c>
      <c r="F32" s="109" t="s">
        <v>1764</v>
      </c>
      <c r="G32" s="109" t="s">
        <v>1253</v>
      </c>
      <c r="H32" s="109" t="s">
        <v>1765</v>
      </c>
      <c r="I32" s="109" t="s">
        <v>1254</v>
      </c>
      <c r="J32" s="109" t="s">
        <v>1766</v>
      </c>
      <c r="K32" s="109" t="s">
        <v>248</v>
      </c>
      <c r="L32" s="109" t="s">
        <v>595</v>
      </c>
      <c r="M32" s="110" t="s">
        <v>918</v>
      </c>
      <c r="N32" s="156">
        <v>1</v>
      </c>
      <c r="O32" s="112">
        <f>P32/N32</f>
        <v>1658160</v>
      </c>
      <c r="P32" s="113">
        <f>5443550-2320162-615714-150000-535714-163800</f>
        <v>1658160</v>
      </c>
      <c r="Q32" s="157" t="s">
        <v>505</v>
      </c>
      <c r="R32" s="115" t="s">
        <v>1476</v>
      </c>
      <c r="S32" s="108" t="s">
        <v>1179</v>
      </c>
      <c r="T32" s="157">
        <v>100</v>
      </c>
    </row>
    <row r="33" spans="1:20" s="114" customFormat="1" ht="51" outlineLevel="1">
      <c r="A33" s="116"/>
      <c r="B33" s="106">
        <v>895</v>
      </c>
      <c r="C33" s="115" t="s">
        <v>714</v>
      </c>
      <c r="D33" s="106" t="s">
        <v>601</v>
      </c>
      <c r="E33" s="143" t="s">
        <v>699</v>
      </c>
      <c r="F33" s="109" t="s">
        <v>1787</v>
      </c>
      <c r="G33" s="109" t="s">
        <v>700</v>
      </c>
      <c r="H33" s="109" t="s">
        <v>1787</v>
      </c>
      <c r="I33" s="109" t="s">
        <v>700</v>
      </c>
      <c r="J33" s="109" t="s">
        <v>1788</v>
      </c>
      <c r="K33" s="109" t="s">
        <v>34</v>
      </c>
      <c r="L33" s="109" t="s">
        <v>595</v>
      </c>
      <c r="M33" s="110" t="s">
        <v>918</v>
      </c>
      <c r="N33" s="111">
        <v>1</v>
      </c>
      <c r="O33" s="112">
        <v>1339286</v>
      </c>
      <c r="P33" s="113">
        <f t="shared" ref="P33" si="1">N33*O33</f>
        <v>1339286</v>
      </c>
      <c r="Q33" s="106" t="s">
        <v>505</v>
      </c>
      <c r="R33" s="106" t="s">
        <v>770</v>
      </c>
      <c r="S33" s="108" t="s">
        <v>1179</v>
      </c>
      <c r="T33" s="111">
        <v>0</v>
      </c>
    </row>
    <row r="34" spans="1:20" s="138" customFormat="1" ht="76.5">
      <c r="B34" s="106">
        <v>1025</v>
      </c>
      <c r="C34" s="107" t="s">
        <v>714</v>
      </c>
      <c r="D34" s="132" t="s">
        <v>601</v>
      </c>
      <c r="E34" s="115" t="s">
        <v>864</v>
      </c>
      <c r="F34" s="109" t="s">
        <v>865</v>
      </c>
      <c r="G34" s="109" t="s">
        <v>701</v>
      </c>
      <c r="H34" s="109" t="s">
        <v>866</v>
      </c>
      <c r="I34" s="109" t="s">
        <v>867</v>
      </c>
      <c r="J34" s="109" t="s">
        <v>2315</v>
      </c>
      <c r="K34" s="109" t="s">
        <v>289</v>
      </c>
      <c r="L34" s="109" t="s">
        <v>595</v>
      </c>
      <c r="M34" s="110" t="s">
        <v>918</v>
      </c>
      <c r="N34" s="111">
        <v>1</v>
      </c>
      <c r="O34" s="112">
        <f>P34/N34</f>
        <v>0</v>
      </c>
      <c r="P34" s="113">
        <f>133929-133929</f>
        <v>0</v>
      </c>
      <c r="Q34" s="106" t="s">
        <v>616</v>
      </c>
      <c r="R34" s="106" t="s">
        <v>398</v>
      </c>
      <c r="S34" s="108">
        <v>551000000</v>
      </c>
      <c r="T34" s="111">
        <v>30</v>
      </c>
    </row>
    <row r="35" spans="1:20" s="114" customFormat="1" ht="76.5" outlineLevel="1">
      <c r="A35" s="116"/>
      <c r="B35" s="106">
        <v>1105</v>
      </c>
      <c r="C35" s="107" t="s">
        <v>714</v>
      </c>
      <c r="D35" s="132" t="s">
        <v>601</v>
      </c>
      <c r="E35" s="106" t="s">
        <v>523</v>
      </c>
      <c r="F35" s="109" t="s">
        <v>524</v>
      </c>
      <c r="G35" s="109" t="s">
        <v>525</v>
      </c>
      <c r="H35" s="109" t="s">
        <v>526</v>
      </c>
      <c r="I35" s="109" t="s">
        <v>527</v>
      </c>
      <c r="J35" s="109" t="s">
        <v>1808</v>
      </c>
      <c r="K35" s="109" t="s">
        <v>52</v>
      </c>
      <c r="L35" s="109" t="s">
        <v>595</v>
      </c>
      <c r="M35" s="110" t="s">
        <v>918</v>
      </c>
      <c r="N35" s="111">
        <v>1</v>
      </c>
      <c r="O35" s="112">
        <v>36661536</v>
      </c>
      <c r="P35" s="113">
        <f t="shared" ref="P35" si="2">N35*O35</f>
        <v>36661536</v>
      </c>
      <c r="Q35" s="106" t="s">
        <v>505</v>
      </c>
      <c r="R35" s="106" t="s">
        <v>398</v>
      </c>
      <c r="S35" s="108" t="s">
        <v>1179</v>
      </c>
      <c r="T35" s="111">
        <v>100</v>
      </c>
    </row>
    <row r="36" spans="1:20" s="114" customFormat="1" ht="89.25" outlineLevel="1">
      <c r="A36" s="116"/>
      <c r="B36" s="106">
        <v>1150</v>
      </c>
      <c r="C36" s="115" t="s">
        <v>714</v>
      </c>
      <c r="D36" s="106" t="s">
        <v>601</v>
      </c>
      <c r="E36" s="143" t="s">
        <v>919</v>
      </c>
      <c r="F36" s="109" t="s">
        <v>1840</v>
      </c>
      <c r="G36" s="109" t="s">
        <v>920</v>
      </c>
      <c r="H36" s="109" t="s">
        <v>1841</v>
      </c>
      <c r="I36" s="109" t="s">
        <v>921</v>
      </c>
      <c r="J36" s="109" t="s">
        <v>1842</v>
      </c>
      <c r="K36" s="109" t="s">
        <v>263</v>
      </c>
      <c r="L36" s="109" t="s">
        <v>1489</v>
      </c>
      <c r="M36" s="110" t="s">
        <v>918</v>
      </c>
      <c r="N36" s="111">
        <v>1</v>
      </c>
      <c r="O36" s="112">
        <f>P36/N36</f>
        <v>4907143</v>
      </c>
      <c r="P36" s="113">
        <f>5357143-450000</f>
        <v>4907143</v>
      </c>
      <c r="Q36" s="106" t="s">
        <v>505</v>
      </c>
      <c r="R36" s="106" t="s">
        <v>770</v>
      </c>
      <c r="S36" s="108" t="s">
        <v>1179</v>
      </c>
      <c r="T36" s="111">
        <v>30</v>
      </c>
    </row>
    <row r="37" spans="1:20" s="154" customFormat="1" ht="76.5">
      <c r="A37" s="116"/>
      <c r="B37" s="106">
        <v>1183</v>
      </c>
      <c r="C37" s="115" t="s">
        <v>945</v>
      </c>
      <c r="D37" s="106" t="s">
        <v>601</v>
      </c>
      <c r="E37" s="158" t="s">
        <v>536</v>
      </c>
      <c r="F37" s="109" t="s">
        <v>537</v>
      </c>
      <c r="G37" s="109" t="s">
        <v>538</v>
      </c>
      <c r="H37" s="109" t="s">
        <v>537</v>
      </c>
      <c r="I37" s="109" t="s">
        <v>538</v>
      </c>
      <c r="J37" s="109" t="s">
        <v>2308</v>
      </c>
      <c r="K37" s="109" t="s">
        <v>102</v>
      </c>
      <c r="L37" s="109" t="s">
        <v>595</v>
      </c>
      <c r="M37" s="110" t="s">
        <v>918</v>
      </c>
      <c r="N37" s="111">
        <v>1</v>
      </c>
      <c r="O37" s="112">
        <v>178571</v>
      </c>
      <c r="P37" s="113">
        <f t="shared" ref="P37" si="3">N37*O37</f>
        <v>178571</v>
      </c>
      <c r="Q37" s="106" t="s">
        <v>510</v>
      </c>
      <c r="R37" s="106" t="s">
        <v>590</v>
      </c>
      <c r="S37" s="108">
        <v>591000000</v>
      </c>
      <c r="T37" s="111">
        <v>30</v>
      </c>
    </row>
    <row r="38" spans="1:20" s="153" customFormat="1" ht="51">
      <c r="A38" s="116"/>
      <c r="B38" s="106">
        <v>1194</v>
      </c>
      <c r="C38" s="115" t="s">
        <v>714</v>
      </c>
      <c r="D38" s="106" t="s">
        <v>601</v>
      </c>
      <c r="E38" s="106" t="s">
        <v>539</v>
      </c>
      <c r="F38" s="109" t="s">
        <v>540</v>
      </c>
      <c r="G38" s="109" t="s">
        <v>541</v>
      </c>
      <c r="H38" s="109" t="s">
        <v>542</v>
      </c>
      <c r="I38" s="109" t="s">
        <v>543</v>
      </c>
      <c r="J38" s="109" t="s">
        <v>1536</v>
      </c>
      <c r="K38" s="109" t="s">
        <v>80</v>
      </c>
      <c r="L38" s="109" t="s">
        <v>595</v>
      </c>
      <c r="M38" s="110" t="s">
        <v>918</v>
      </c>
      <c r="N38" s="111">
        <v>1</v>
      </c>
      <c r="O38" s="112">
        <f>P38/N38</f>
        <v>41629</v>
      </c>
      <c r="P38" s="113">
        <f>21429+20200</f>
        <v>41629</v>
      </c>
      <c r="Q38" s="106" t="s">
        <v>397</v>
      </c>
      <c r="R38" s="106" t="s">
        <v>770</v>
      </c>
      <c r="S38" s="108" t="s">
        <v>2032</v>
      </c>
      <c r="T38" s="106">
        <v>30</v>
      </c>
    </row>
    <row r="39" spans="1:20" s="154" customFormat="1" ht="51">
      <c r="A39" s="116"/>
      <c r="B39" s="106">
        <v>1210</v>
      </c>
      <c r="C39" s="115" t="s">
        <v>714</v>
      </c>
      <c r="D39" s="106" t="s">
        <v>601</v>
      </c>
      <c r="E39" s="110" t="s">
        <v>544</v>
      </c>
      <c r="F39" s="109" t="s">
        <v>2317</v>
      </c>
      <c r="G39" s="109" t="s">
        <v>545</v>
      </c>
      <c r="H39" s="109" t="s">
        <v>2317</v>
      </c>
      <c r="I39" s="109" t="s">
        <v>545</v>
      </c>
      <c r="J39" s="109" t="s">
        <v>2316</v>
      </c>
      <c r="K39" s="109" t="s">
        <v>264</v>
      </c>
      <c r="L39" s="109" t="s">
        <v>1489</v>
      </c>
      <c r="M39" s="110" t="s">
        <v>918</v>
      </c>
      <c r="N39" s="111">
        <v>1</v>
      </c>
      <c r="O39" s="112">
        <f>P39/N39</f>
        <v>3104764</v>
      </c>
      <c r="P39" s="113">
        <f>3479464-20200-354500</f>
        <v>3104764</v>
      </c>
      <c r="Q39" s="106" t="s">
        <v>397</v>
      </c>
      <c r="R39" s="106" t="s">
        <v>770</v>
      </c>
      <c r="S39" s="108">
        <v>431000000</v>
      </c>
      <c r="T39" s="111">
        <v>0</v>
      </c>
    </row>
    <row r="40" spans="1:20" s="114" customFormat="1" ht="63.75" outlineLevel="1">
      <c r="A40" s="116"/>
      <c r="B40" s="106">
        <v>1233</v>
      </c>
      <c r="C40" s="115" t="s">
        <v>714</v>
      </c>
      <c r="D40" s="106" t="s">
        <v>601</v>
      </c>
      <c r="E40" s="110" t="s">
        <v>1269</v>
      </c>
      <c r="F40" s="109" t="s">
        <v>1871</v>
      </c>
      <c r="G40" s="109" t="s">
        <v>1270</v>
      </c>
      <c r="H40" s="109" t="s">
        <v>1872</v>
      </c>
      <c r="I40" s="109" t="s">
        <v>1271</v>
      </c>
      <c r="J40" s="109" t="s">
        <v>1873</v>
      </c>
      <c r="K40" s="109" t="s">
        <v>48</v>
      </c>
      <c r="L40" s="109" t="s">
        <v>595</v>
      </c>
      <c r="M40" s="110" t="s">
        <v>918</v>
      </c>
      <c r="N40" s="156">
        <v>1</v>
      </c>
      <c r="O40" s="112">
        <v>38214</v>
      </c>
      <c r="P40" s="113">
        <f t="shared" ref="P40" si="4">N40*O40</f>
        <v>38214</v>
      </c>
      <c r="Q40" s="157" t="s">
        <v>505</v>
      </c>
      <c r="R40" s="115" t="s">
        <v>1476</v>
      </c>
      <c r="S40" s="108" t="s">
        <v>1179</v>
      </c>
      <c r="T40" s="157">
        <v>100</v>
      </c>
    </row>
    <row r="41" spans="1:20" s="114" customFormat="1" ht="102" outlineLevel="1">
      <c r="A41" s="116"/>
      <c r="B41" s="106">
        <v>1329</v>
      </c>
      <c r="C41" s="115" t="s">
        <v>714</v>
      </c>
      <c r="D41" s="106" t="s">
        <v>601</v>
      </c>
      <c r="E41" s="110" t="s">
        <v>1355</v>
      </c>
      <c r="F41" s="109" t="s">
        <v>1894</v>
      </c>
      <c r="G41" s="109" t="s">
        <v>1356</v>
      </c>
      <c r="H41" s="109" t="s">
        <v>1895</v>
      </c>
      <c r="I41" s="109" t="s">
        <v>1893</v>
      </c>
      <c r="J41" s="109" t="s">
        <v>1896</v>
      </c>
      <c r="K41" s="109" t="s">
        <v>281</v>
      </c>
      <c r="L41" s="109" t="s">
        <v>595</v>
      </c>
      <c r="M41" s="110" t="s">
        <v>918</v>
      </c>
      <c r="N41" s="111">
        <v>1</v>
      </c>
      <c r="O41" s="112">
        <v>1339286</v>
      </c>
      <c r="P41" s="113">
        <f t="shared" ref="P41:P46" si="5">N41*O41</f>
        <v>1339286</v>
      </c>
      <c r="Q41" s="106" t="s">
        <v>506</v>
      </c>
      <c r="R41" s="106" t="s">
        <v>398</v>
      </c>
      <c r="S41" s="108" t="s">
        <v>1179</v>
      </c>
      <c r="T41" s="106">
        <v>30</v>
      </c>
    </row>
    <row r="42" spans="1:20" s="114" customFormat="1" ht="76.5" outlineLevel="1">
      <c r="A42" s="116"/>
      <c r="B42" s="106">
        <v>1330</v>
      </c>
      <c r="C42" s="115" t="s">
        <v>714</v>
      </c>
      <c r="D42" s="106" t="s">
        <v>601</v>
      </c>
      <c r="E42" s="110" t="s">
        <v>1357</v>
      </c>
      <c r="F42" s="109" t="s">
        <v>1901</v>
      </c>
      <c r="G42" s="109" t="s">
        <v>1358</v>
      </c>
      <c r="H42" s="109" t="s">
        <v>1897</v>
      </c>
      <c r="I42" s="109" t="s">
        <v>1359</v>
      </c>
      <c r="J42" s="109" t="s">
        <v>1898</v>
      </c>
      <c r="K42" s="109" t="s">
        <v>282</v>
      </c>
      <c r="L42" s="109" t="s">
        <v>1489</v>
      </c>
      <c r="M42" s="110" t="s">
        <v>918</v>
      </c>
      <c r="N42" s="111">
        <v>1</v>
      </c>
      <c r="O42" s="112">
        <v>5850000</v>
      </c>
      <c r="P42" s="113">
        <f t="shared" si="5"/>
        <v>5850000</v>
      </c>
      <c r="Q42" s="106" t="s">
        <v>506</v>
      </c>
      <c r="R42" s="106" t="s">
        <v>398</v>
      </c>
      <c r="S42" s="108" t="s">
        <v>1179</v>
      </c>
      <c r="T42" s="106">
        <v>30</v>
      </c>
    </row>
    <row r="43" spans="1:20" s="136" customFormat="1" ht="89.25" outlineLevel="1">
      <c r="B43" s="106">
        <v>1337</v>
      </c>
      <c r="C43" s="115" t="s">
        <v>714</v>
      </c>
      <c r="D43" s="106" t="s">
        <v>601</v>
      </c>
      <c r="E43" s="110" t="s">
        <v>570</v>
      </c>
      <c r="F43" s="109" t="s">
        <v>2061</v>
      </c>
      <c r="G43" s="109" t="s">
        <v>572</v>
      </c>
      <c r="H43" s="109" t="s">
        <v>2062</v>
      </c>
      <c r="I43" s="109" t="s">
        <v>709</v>
      </c>
      <c r="J43" s="109" t="s">
        <v>2063</v>
      </c>
      <c r="K43" s="109" t="s">
        <v>103</v>
      </c>
      <c r="L43" s="109" t="s">
        <v>595</v>
      </c>
      <c r="M43" s="110" t="s">
        <v>918</v>
      </c>
      <c r="N43" s="111">
        <v>1</v>
      </c>
      <c r="O43" s="112">
        <f>P43/N43</f>
        <v>0</v>
      </c>
      <c r="P43" s="113">
        <f>64286-64286</f>
        <v>0</v>
      </c>
      <c r="Q43" s="106" t="s">
        <v>395</v>
      </c>
      <c r="R43" s="106" t="s">
        <v>770</v>
      </c>
      <c r="S43" s="108" t="s">
        <v>2035</v>
      </c>
      <c r="T43" s="111">
        <v>100</v>
      </c>
    </row>
    <row r="44" spans="1:20" s="131" customFormat="1" ht="89.25">
      <c r="A44" s="116"/>
      <c r="B44" s="106">
        <v>1339</v>
      </c>
      <c r="C44" s="115" t="s">
        <v>714</v>
      </c>
      <c r="D44" s="106" t="s">
        <v>601</v>
      </c>
      <c r="E44" s="110" t="s">
        <v>570</v>
      </c>
      <c r="F44" s="109" t="s">
        <v>2061</v>
      </c>
      <c r="G44" s="109" t="s">
        <v>572</v>
      </c>
      <c r="H44" s="109" t="s">
        <v>2062</v>
      </c>
      <c r="I44" s="109" t="s">
        <v>709</v>
      </c>
      <c r="J44" s="109" t="s">
        <v>2063</v>
      </c>
      <c r="K44" s="109" t="s">
        <v>103</v>
      </c>
      <c r="L44" s="109" t="s">
        <v>595</v>
      </c>
      <c r="M44" s="110" t="s">
        <v>918</v>
      </c>
      <c r="N44" s="111">
        <v>1</v>
      </c>
      <c r="O44" s="112">
        <f>P44/N44</f>
        <v>0</v>
      </c>
      <c r="P44" s="113">
        <f>64286-64286</f>
        <v>0</v>
      </c>
      <c r="Q44" s="106" t="s">
        <v>703</v>
      </c>
      <c r="R44" s="106" t="s">
        <v>770</v>
      </c>
      <c r="S44" s="108" t="s">
        <v>2031</v>
      </c>
      <c r="T44" s="111">
        <v>100</v>
      </c>
    </row>
    <row r="45" spans="1:20" s="138" customFormat="1" ht="89.25">
      <c r="B45" s="106">
        <v>1347</v>
      </c>
      <c r="C45" s="115" t="s">
        <v>714</v>
      </c>
      <c r="D45" s="106" t="s">
        <v>601</v>
      </c>
      <c r="E45" s="110" t="s">
        <v>570</v>
      </c>
      <c r="F45" s="109" t="s">
        <v>2061</v>
      </c>
      <c r="G45" s="109" t="s">
        <v>572</v>
      </c>
      <c r="H45" s="109" t="s">
        <v>2062</v>
      </c>
      <c r="I45" s="109" t="s">
        <v>709</v>
      </c>
      <c r="J45" s="109" t="s">
        <v>2063</v>
      </c>
      <c r="K45" s="109" t="s">
        <v>103</v>
      </c>
      <c r="L45" s="109" t="s">
        <v>595</v>
      </c>
      <c r="M45" s="110" t="s">
        <v>918</v>
      </c>
      <c r="N45" s="111">
        <v>1</v>
      </c>
      <c r="O45" s="112">
        <f>P45/N45</f>
        <v>0</v>
      </c>
      <c r="P45" s="113">
        <f>64286-21071-43215</f>
        <v>0</v>
      </c>
      <c r="Q45" s="106" t="s">
        <v>616</v>
      </c>
      <c r="R45" s="106" t="s">
        <v>770</v>
      </c>
      <c r="S45" s="108">
        <v>551000000</v>
      </c>
      <c r="T45" s="111">
        <v>0</v>
      </c>
    </row>
    <row r="46" spans="1:20" s="114" customFormat="1" ht="102">
      <c r="A46" s="116"/>
      <c r="B46" s="106">
        <v>1387</v>
      </c>
      <c r="C46" s="115" t="s">
        <v>714</v>
      </c>
      <c r="D46" s="108" t="s">
        <v>601</v>
      </c>
      <c r="E46" s="143" t="s">
        <v>1046</v>
      </c>
      <c r="F46" s="109" t="s">
        <v>1930</v>
      </c>
      <c r="G46" s="109" t="s">
        <v>1047</v>
      </c>
      <c r="H46" s="109" t="s">
        <v>1928</v>
      </c>
      <c r="I46" s="109" t="s">
        <v>1048</v>
      </c>
      <c r="J46" s="109" t="s">
        <v>1929</v>
      </c>
      <c r="K46" s="109" t="s">
        <v>285</v>
      </c>
      <c r="L46" s="109" t="s">
        <v>595</v>
      </c>
      <c r="M46" s="110" t="s">
        <v>918</v>
      </c>
      <c r="N46" s="111">
        <v>1</v>
      </c>
      <c r="O46" s="112">
        <v>9977857</v>
      </c>
      <c r="P46" s="113">
        <f t="shared" si="5"/>
        <v>9977857</v>
      </c>
      <c r="Q46" s="106" t="s">
        <v>505</v>
      </c>
      <c r="R46" s="115" t="s">
        <v>1476</v>
      </c>
      <c r="S46" s="108" t="s">
        <v>1179</v>
      </c>
      <c r="T46" s="111">
        <v>100</v>
      </c>
    </row>
    <row r="47" spans="1:20" s="114" customFormat="1" ht="89.25" outlineLevel="1">
      <c r="A47" s="116"/>
      <c r="B47" s="106">
        <v>1448</v>
      </c>
      <c r="C47" s="115" t="s">
        <v>714</v>
      </c>
      <c r="D47" s="108" t="s">
        <v>601</v>
      </c>
      <c r="E47" s="110" t="s">
        <v>588</v>
      </c>
      <c r="F47" s="109" t="s">
        <v>2081</v>
      </c>
      <c r="G47" s="109" t="s">
        <v>589</v>
      </c>
      <c r="H47" s="109" t="s">
        <v>2081</v>
      </c>
      <c r="I47" s="109" t="s">
        <v>589</v>
      </c>
      <c r="J47" s="109" t="s">
        <v>2080</v>
      </c>
      <c r="K47" s="109" t="s">
        <v>93</v>
      </c>
      <c r="L47" s="109" t="s">
        <v>595</v>
      </c>
      <c r="M47" s="110" t="s">
        <v>918</v>
      </c>
      <c r="N47" s="111">
        <v>1</v>
      </c>
      <c r="O47" s="112">
        <f t="shared" ref="O47:O58" si="6">P47/N47</f>
        <v>0</v>
      </c>
      <c r="P47" s="113">
        <f>2656095-2656095</f>
        <v>0</v>
      </c>
      <c r="Q47" s="106" t="s">
        <v>395</v>
      </c>
      <c r="R47" s="115" t="s">
        <v>1476</v>
      </c>
      <c r="S47" s="108" t="s">
        <v>719</v>
      </c>
      <c r="T47" s="111">
        <v>0</v>
      </c>
    </row>
    <row r="48" spans="1:20" s="114" customFormat="1" ht="89.25" outlineLevel="1">
      <c r="A48" s="116"/>
      <c r="B48" s="106">
        <v>1451</v>
      </c>
      <c r="C48" s="115" t="s">
        <v>714</v>
      </c>
      <c r="D48" s="108" t="s">
        <v>601</v>
      </c>
      <c r="E48" s="110" t="s">
        <v>588</v>
      </c>
      <c r="F48" s="109" t="s">
        <v>2081</v>
      </c>
      <c r="G48" s="109" t="s">
        <v>589</v>
      </c>
      <c r="H48" s="109" t="s">
        <v>2081</v>
      </c>
      <c r="I48" s="109" t="s">
        <v>589</v>
      </c>
      <c r="J48" s="109" t="s">
        <v>2080</v>
      </c>
      <c r="K48" s="109" t="s">
        <v>93</v>
      </c>
      <c r="L48" s="109" t="s">
        <v>1489</v>
      </c>
      <c r="M48" s="110" t="s">
        <v>918</v>
      </c>
      <c r="N48" s="111">
        <v>1</v>
      </c>
      <c r="O48" s="112">
        <f t="shared" si="6"/>
        <v>0</v>
      </c>
      <c r="P48" s="113">
        <f>5652511-5652511</f>
        <v>0</v>
      </c>
      <c r="Q48" s="106" t="s">
        <v>395</v>
      </c>
      <c r="R48" s="106" t="s">
        <v>1476</v>
      </c>
      <c r="S48" s="108" t="s">
        <v>2037</v>
      </c>
      <c r="T48" s="106">
        <v>0</v>
      </c>
    </row>
    <row r="49" spans="1:20" s="114" customFormat="1" ht="63.75">
      <c r="A49" s="116"/>
      <c r="B49" s="106">
        <v>1485</v>
      </c>
      <c r="C49" s="115" t="s">
        <v>714</v>
      </c>
      <c r="D49" s="108" t="s">
        <v>601</v>
      </c>
      <c r="E49" s="106" t="s">
        <v>1435</v>
      </c>
      <c r="F49" s="109" t="s">
        <v>1955</v>
      </c>
      <c r="G49" s="109" t="s">
        <v>1956</v>
      </c>
      <c r="H49" s="109" t="s">
        <v>1955</v>
      </c>
      <c r="I49" s="109" t="s">
        <v>1956</v>
      </c>
      <c r="J49" s="109" t="s">
        <v>1941</v>
      </c>
      <c r="K49" s="109" t="s">
        <v>292</v>
      </c>
      <c r="L49" s="109" t="s">
        <v>1489</v>
      </c>
      <c r="M49" s="110" t="s">
        <v>918</v>
      </c>
      <c r="N49" s="111">
        <v>1</v>
      </c>
      <c r="O49" s="112">
        <f t="shared" si="6"/>
        <v>0</v>
      </c>
      <c r="P49" s="113">
        <f>6555000-2055000-4500000</f>
        <v>0</v>
      </c>
      <c r="Q49" s="106" t="s">
        <v>616</v>
      </c>
      <c r="R49" s="115" t="s">
        <v>770</v>
      </c>
      <c r="S49" s="108" t="s">
        <v>1179</v>
      </c>
      <c r="T49" s="111">
        <v>30</v>
      </c>
    </row>
    <row r="50" spans="1:20" s="118" customFormat="1" ht="102">
      <c r="A50" s="117"/>
      <c r="B50" s="106">
        <v>1487</v>
      </c>
      <c r="C50" s="115" t="s">
        <v>714</v>
      </c>
      <c r="D50" s="108" t="s">
        <v>601</v>
      </c>
      <c r="E50" s="106" t="s">
        <v>1426</v>
      </c>
      <c r="F50" s="109" t="s">
        <v>1946</v>
      </c>
      <c r="G50" s="109" t="s">
        <v>1427</v>
      </c>
      <c r="H50" s="109" t="s">
        <v>1945</v>
      </c>
      <c r="I50" s="109" t="s">
        <v>1428</v>
      </c>
      <c r="J50" s="109" t="s">
        <v>1944</v>
      </c>
      <c r="K50" s="109" t="s">
        <v>293</v>
      </c>
      <c r="L50" s="109" t="s">
        <v>595</v>
      </c>
      <c r="M50" s="110" t="s">
        <v>918</v>
      </c>
      <c r="N50" s="111">
        <v>1</v>
      </c>
      <c r="O50" s="112">
        <f>P50/N50</f>
        <v>1000000</v>
      </c>
      <c r="P50" s="113">
        <f>1300000-300000</f>
        <v>1000000</v>
      </c>
      <c r="Q50" s="106" t="s">
        <v>505</v>
      </c>
      <c r="R50" s="106" t="s">
        <v>770</v>
      </c>
      <c r="S50" s="108" t="s">
        <v>1179</v>
      </c>
      <c r="T50" s="106">
        <v>30</v>
      </c>
    </row>
    <row r="51" spans="1:20" s="114" customFormat="1" ht="165.75">
      <c r="A51" s="116"/>
      <c r="B51" s="106">
        <v>1563</v>
      </c>
      <c r="C51" s="115" t="s">
        <v>714</v>
      </c>
      <c r="D51" s="108" t="s">
        <v>601</v>
      </c>
      <c r="E51" s="108" t="s">
        <v>946</v>
      </c>
      <c r="F51" s="109" t="s">
        <v>1159</v>
      </c>
      <c r="G51" s="109" t="s">
        <v>947</v>
      </c>
      <c r="H51" s="109" t="s">
        <v>1977</v>
      </c>
      <c r="I51" s="109" t="s">
        <v>948</v>
      </c>
      <c r="J51" s="109" t="s">
        <v>2008</v>
      </c>
      <c r="K51" s="109" t="s">
        <v>334</v>
      </c>
      <c r="L51" s="109" t="s">
        <v>595</v>
      </c>
      <c r="M51" s="110" t="s">
        <v>918</v>
      </c>
      <c r="N51" s="111">
        <v>1</v>
      </c>
      <c r="O51" s="112">
        <f t="shared" si="6"/>
        <v>2400000</v>
      </c>
      <c r="P51" s="113">
        <f>2480040-80040</f>
        <v>2400000</v>
      </c>
      <c r="Q51" s="106" t="s">
        <v>519</v>
      </c>
      <c r="R51" s="106" t="s">
        <v>1303</v>
      </c>
      <c r="S51" s="108" t="s">
        <v>1179</v>
      </c>
      <c r="T51" s="106">
        <v>30</v>
      </c>
    </row>
    <row r="52" spans="1:20" s="118" customFormat="1" ht="51">
      <c r="A52" s="117"/>
      <c r="B52" s="106">
        <v>1564</v>
      </c>
      <c r="C52" s="115" t="s">
        <v>714</v>
      </c>
      <c r="D52" s="108" t="s">
        <v>601</v>
      </c>
      <c r="E52" s="108" t="s">
        <v>511</v>
      </c>
      <c r="F52" s="109" t="s">
        <v>1953</v>
      </c>
      <c r="G52" s="109" t="s">
        <v>513</v>
      </c>
      <c r="H52" s="109" t="s">
        <v>2009</v>
      </c>
      <c r="I52" s="109" t="s">
        <v>514</v>
      </c>
      <c r="J52" s="109" t="s">
        <v>2010</v>
      </c>
      <c r="K52" s="109" t="s">
        <v>88</v>
      </c>
      <c r="L52" s="109" t="s">
        <v>595</v>
      </c>
      <c r="M52" s="110" t="s">
        <v>918</v>
      </c>
      <c r="N52" s="111">
        <v>1</v>
      </c>
      <c r="O52" s="112">
        <f t="shared" si="6"/>
        <v>16151000</v>
      </c>
      <c r="P52" s="113">
        <f>18585714-1974000-460714</f>
        <v>16151000</v>
      </c>
      <c r="Q52" s="119" t="s">
        <v>395</v>
      </c>
      <c r="R52" s="106" t="s">
        <v>943</v>
      </c>
      <c r="S52" s="108" t="s">
        <v>1179</v>
      </c>
      <c r="T52" s="106">
        <v>30</v>
      </c>
    </row>
    <row r="53" spans="1:20" s="114" customFormat="1" ht="31.5" customHeight="1">
      <c r="A53" s="116"/>
      <c r="B53" s="106">
        <v>1566</v>
      </c>
      <c r="C53" s="115" t="s">
        <v>714</v>
      </c>
      <c r="D53" s="108" t="s">
        <v>601</v>
      </c>
      <c r="E53" s="108" t="s">
        <v>1470</v>
      </c>
      <c r="F53" s="109" t="s">
        <v>2013</v>
      </c>
      <c r="G53" s="109" t="s">
        <v>1471</v>
      </c>
      <c r="H53" s="109" t="s">
        <v>2013</v>
      </c>
      <c r="I53" s="109" t="s">
        <v>1471</v>
      </c>
      <c r="J53" s="109" t="s">
        <v>2012</v>
      </c>
      <c r="K53" s="109" t="s">
        <v>1472</v>
      </c>
      <c r="L53" s="109" t="s">
        <v>595</v>
      </c>
      <c r="M53" s="110" t="s">
        <v>918</v>
      </c>
      <c r="N53" s="111">
        <v>1</v>
      </c>
      <c r="O53" s="112">
        <f t="shared" si="6"/>
        <v>2088929</v>
      </c>
      <c r="P53" s="113">
        <f>4088929-2000000</f>
        <v>2088929</v>
      </c>
      <c r="Q53" s="106" t="s">
        <v>506</v>
      </c>
      <c r="R53" s="115" t="s">
        <v>1311</v>
      </c>
      <c r="S53" s="108" t="s">
        <v>1179</v>
      </c>
      <c r="T53" s="111">
        <v>30</v>
      </c>
    </row>
    <row r="54" spans="1:20" s="118" customFormat="1" ht="51">
      <c r="A54" s="117"/>
      <c r="B54" s="106">
        <v>1568</v>
      </c>
      <c r="C54" s="115" t="s">
        <v>714</v>
      </c>
      <c r="D54" s="108" t="s">
        <v>601</v>
      </c>
      <c r="E54" s="108" t="s">
        <v>1312</v>
      </c>
      <c r="F54" s="109" t="s">
        <v>2017</v>
      </c>
      <c r="G54" s="109" t="s">
        <v>1313</v>
      </c>
      <c r="H54" s="109" t="s">
        <v>2018</v>
      </c>
      <c r="I54" s="109" t="s">
        <v>1314</v>
      </c>
      <c r="J54" s="109" t="s">
        <v>1934</v>
      </c>
      <c r="K54" s="109" t="s">
        <v>90</v>
      </c>
      <c r="L54" s="109" t="s">
        <v>595</v>
      </c>
      <c r="M54" s="110" t="s">
        <v>918</v>
      </c>
      <c r="N54" s="111">
        <v>1</v>
      </c>
      <c r="O54" s="112">
        <f t="shared" si="6"/>
        <v>450000</v>
      </c>
      <c r="P54" s="113">
        <f>477679-27679</f>
        <v>450000</v>
      </c>
      <c r="Q54" s="106" t="s">
        <v>1315</v>
      </c>
      <c r="R54" s="106" t="s">
        <v>770</v>
      </c>
      <c r="S54" s="108" t="s">
        <v>1179</v>
      </c>
      <c r="T54" s="144">
        <v>0</v>
      </c>
    </row>
    <row r="55" spans="1:20" s="131" customFormat="1" ht="63.75">
      <c r="A55" s="130"/>
      <c r="B55" s="106">
        <v>1575</v>
      </c>
      <c r="C55" s="107" t="s">
        <v>714</v>
      </c>
      <c r="D55" s="132" t="s">
        <v>601</v>
      </c>
      <c r="E55" s="108" t="s">
        <v>593</v>
      </c>
      <c r="F55" s="109" t="s">
        <v>2053</v>
      </c>
      <c r="G55" s="109" t="s">
        <v>713</v>
      </c>
      <c r="H55" s="109" t="s">
        <v>2053</v>
      </c>
      <c r="I55" s="109" t="s">
        <v>594</v>
      </c>
      <c r="J55" s="109" t="s">
        <v>2054</v>
      </c>
      <c r="K55" s="109" t="s">
        <v>87</v>
      </c>
      <c r="L55" s="109" t="s">
        <v>595</v>
      </c>
      <c r="M55" s="110" t="s">
        <v>918</v>
      </c>
      <c r="N55" s="111">
        <v>1</v>
      </c>
      <c r="O55" s="112">
        <f t="shared" si="6"/>
        <v>2143008</v>
      </c>
      <c r="P55" s="113">
        <f>2144588-1580</f>
        <v>2143008</v>
      </c>
      <c r="Q55" s="106" t="s">
        <v>395</v>
      </c>
      <c r="R55" s="106" t="s">
        <v>770</v>
      </c>
      <c r="S55" s="108" t="s">
        <v>2038</v>
      </c>
      <c r="T55" s="111">
        <v>30</v>
      </c>
    </row>
    <row r="56" spans="1:20" s="131" customFormat="1" ht="63.75">
      <c r="A56" s="130"/>
      <c r="B56" s="106">
        <v>1576</v>
      </c>
      <c r="C56" s="115" t="s">
        <v>714</v>
      </c>
      <c r="D56" s="108" t="s">
        <v>601</v>
      </c>
      <c r="E56" s="108" t="s">
        <v>593</v>
      </c>
      <c r="F56" s="109" t="s">
        <v>2053</v>
      </c>
      <c r="G56" s="109" t="s">
        <v>713</v>
      </c>
      <c r="H56" s="109" t="s">
        <v>2053</v>
      </c>
      <c r="I56" s="109" t="s">
        <v>594</v>
      </c>
      <c r="J56" s="109" t="s">
        <v>2054</v>
      </c>
      <c r="K56" s="109" t="s">
        <v>87</v>
      </c>
      <c r="L56" s="109" t="s">
        <v>595</v>
      </c>
      <c r="M56" s="110" t="s">
        <v>918</v>
      </c>
      <c r="N56" s="111">
        <v>1</v>
      </c>
      <c r="O56" s="112">
        <f t="shared" si="6"/>
        <v>2630400</v>
      </c>
      <c r="P56" s="113">
        <f>2654613-24213</f>
        <v>2630400</v>
      </c>
      <c r="Q56" s="106" t="s">
        <v>395</v>
      </c>
      <c r="R56" s="106" t="s">
        <v>770</v>
      </c>
      <c r="S56" s="108" t="s">
        <v>1025</v>
      </c>
      <c r="T56" s="111">
        <v>30</v>
      </c>
    </row>
    <row r="57" spans="1:20" s="131" customFormat="1" ht="63.75">
      <c r="A57" s="130"/>
      <c r="B57" s="106">
        <v>1577</v>
      </c>
      <c r="C57" s="115" t="s">
        <v>714</v>
      </c>
      <c r="D57" s="108" t="s">
        <v>601</v>
      </c>
      <c r="E57" s="108" t="s">
        <v>593</v>
      </c>
      <c r="F57" s="109" t="s">
        <v>2053</v>
      </c>
      <c r="G57" s="109" t="s">
        <v>713</v>
      </c>
      <c r="H57" s="109" t="s">
        <v>2053</v>
      </c>
      <c r="I57" s="109" t="s">
        <v>594</v>
      </c>
      <c r="J57" s="109" t="s">
        <v>2054</v>
      </c>
      <c r="K57" s="109" t="s">
        <v>87</v>
      </c>
      <c r="L57" s="109" t="s">
        <v>595</v>
      </c>
      <c r="M57" s="110" t="s">
        <v>918</v>
      </c>
      <c r="N57" s="111">
        <v>1</v>
      </c>
      <c r="O57" s="112">
        <f t="shared" si="6"/>
        <v>4530770</v>
      </c>
      <c r="P57" s="113">
        <f>4540074-9304</f>
        <v>4530770</v>
      </c>
      <c r="Q57" s="106" t="s">
        <v>395</v>
      </c>
      <c r="R57" s="106" t="s">
        <v>770</v>
      </c>
      <c r="S57" s="108" t="s">
        <v>793</v>
      </c>
      <c r="T57" s="111">
        <v>30</v>
      </c>
    </row>
    <row r="58" spans="1:20" s="131" customFormat="1" ht="63.75">
      <c r="A58" s="130"/>
      <c r="B58" s="106">
        <v>1578</v>
      </c>
      <c r="C58" s="115" t="s">
        <v>714</v>
      </c>
      <c r="D58" s="108" t="s">
        <v>601</v>
      </c>
      <c r="E58" s="108" t="s">
        <v>593</v>
      </c>
      <c r="F58" s="109" t="s">
        <v>2053</v>
      </c>
      <c r="G58" s="109" t="s">
        <v>713</v>
      </c>
      <c r="H58" s="109" t="s">
        <v>2053</v>
      </c>
      <c r="I58" s="109" t="s">
        <v>594</v>
      </c>
      <c r="J58" s="109" t="s">
        <v>2054</v>
      </c>
      <c r="K58" s="109" t="s">
        <v>87</v>
      </c>
      <c r="L58" s="109" t="s">
        <v>595</v>
      </c>
      <c r="M58" s="110" t="s">
        <v>918</v>
      </c>
      <c r="N58" s="111">
        <v>1</v>
      </c>
      <c r="O58" s="112">
        <f t="shared" si="6"/>
        <v>3500000</v>
      </c>
      <c r="P58" s="113">
        <f>3753571-253571</f>
        <v>3500000</v>
      </c>
      <c r="Q58" s="106" t="s">
        <v>395</v>
      </c>
      <c r="R58" s="106" t="s">
        <v>770</v>
      </c>
      <c r="S58" s="108" t="s">
        <v>2030</v>
      </c>
      <c r="T58" s="111">
        <v>30</v>
      </c>
    </row>
    <row r="59" spans="1:20" s="131" customFormat="1" ht="63.75">
      <c r="B59" s="106">
        <v>1579</v>
      </c>
      <c r="C59" s="115" t="s">
        <v>714</v>
      </c>
      <c r="D59" s="108" t="s">
        <v>601</v>
      </c>
      <c r="E59" s="108" t="s">
        <v>593</v>
      </c>
      <c r="F59" s="109" t="s">
        <v>2053</v>
      </c>
      <c r="G59" s="109" t="s">
        <v>713</v>
      </c>
      <c r="H59" s="109" t="s">
        <v>2053</v>
      </c>
      <c r="I59" s="109" t="s">
        <v>594</v>
      </c>
      <c r="J59" s="109" t="s">
        <v>2054</v>
      </c>
      <c r="K59" s="109" t="s">
        <v>87</v>
      </c>
      <c r="L59" s="109" t="s">
        <v>595</v>
      </c>
      <c r="M59" s="110" t="s">
        <v>918</v>
      </c>
      <c r="N59" s="111">
        <v>1</v>
      </c>
      <c r="O59" s="112">
        <f t="shared" ref="O59:O63" si="7">P59/N59</f>
        <v>3513060</v>
      </c>
      <c r="P59" s="113">
        <f>4038286-525226</f>
        <v>3513060</v>
      </c>
      <c r="Q59" s="106" t="s">
        <v>395</v>
      </c>
      <c r="R59" s="106" t="s">
        <v>770</v>
      </c>
      <c r="S59" s="108" t="s">
        <v>2035</v>
      </c>
      <c r="T59" s="111">
        <v>30</v>
      </c>
    </row>
    <row r="60" spans="1:20" s="114" customFormat="1" ht="63.75">
      <c r="A60" s="116"/>
      <c r="B60" s="106">
        <v>1581</v>
      </c>
      <c r="C60" s="115" t="s">
        <v>714</v>
      </c>
      <c r="D60" s="108" t="s">
        <v>601</v>
      </c>
      <c r="E60" s="108" t="s">
        <v>593</v>
      </c>
      <c r="F60" s="109" t="s">
        <v>2053</v>
      </c>
      <c r="G60" s="109" t="s">
        <v>713</v>
      </c>
      <c r="H60" s="109" t="s">
        <v>2053</v>
      </c>
      <c r="I60" s="109" t="s">
        <v>594</v>
      </c>
      <c r="J60" s="109" t="s">
        <v>2054</v>
      </c>
      <c r="K60" s="109" t="s">
        <v>87</v>
      </c>
      <c r="L60" s="109" t="s">
        <v>595</v>
      </c>
      <c r="M60" s="110" t="s">
        <v>918</v>
      </c>
      <c r="N60" s="111">
        <v>1</v>
      </c>
      <c r="O60" s="112">
        <f t="shared" si="7"/>
        <v>3147321</v>
      </c>
      <c r="P60" s="113">
        <f>3150911-3590</f>
        <v>3147321</v>
      </c>
      <c r="Q60" s="106" t="s">
        <v>395</v>
      </c>
      <c r="R60" s="106" t="s">
        <v>770</v>
      </c>
      <c r="S60" s="108" t="s">
        <v>637</v>
      </c>
      <c r="T60" s="111">
        <v>30</v>
      </c>
    </row>
    <row r="61" spans="1:20" s="131" customFormat="1" ht="63.75">
      <c r="A61" s="130"/>
      <c r="B61" s="106">
        <v>1584</v>
      </c>
      <c r="C61" s="115" t="s">
        <v>714</v>
      </c>
      <c r="D61" s="108" t="s">
        <v>601</v>
      </c>
      <c r="E61" s="108" t="s">
        <v>593</v>
      </c>
      <c r="F61" s="109" t="s">
        <v>2053</v>
      </c>
      <c r="G61" s="109" t="s">
        <v>713</v>
      </c>
      <c r="H61" s="109" t="s">
        <v>2053</v>
      </c>
      <c r="I61" s="109" t="s">
        <v>594</v>
      </c>
      <c r="J61" s="109" t="s">
        <v>2054</v>
      </c>
      <c r="K61" s="109" t="s">
        <v>87</v>
      </c>
      <c r="L61" s="109" t="s">
        <v>595</v>
      </c>
      <c r="M61" s="110" t="s">
        <v>918</v>
      </c>
      <c r="N61" s="111">
        <v>1</v>
      </c>
      <c r="O61" s="112">
        <f t="shared" si="7"/>
        <v>3333000</v>
      </c>
      <c r="P61" s="113">
        <f>3335714-2714</f>
        <v>3333000</v>
      </c>
      <c r="Q61" s="106" t="s">
        <v>395</v>
      </c>
      <c r="R61" s="106" t="s">
        <v>770</v>
      </c>
      <c r="S61" s="108">
        <v>351000000</v>
      </c>
      <c r="T61" s="111">
        <v>30</v>
      </c>
    </row>
    <row r="62" spans="1:20" s="131" customFormat="1" ht="63.75">
      <c r="A62" s="130"/>
      <c r="B62" s="106">
        <v>1589</v>
      </c>
      <c r="C62" s="115" t="s">
        <v>945</v>
      </c>
      <c r="D62" s="106" t="s">
        <v>601</v>
      </c>
      <c r="E62" s="108" t="s">
        <v>593</v>
      </c>
      <c r="F62" s="109" t="s">
        <v>2053</v>
      </c>
      <c r="G62" s="109" t="s">
        <v>713</v>
      </c>
      <c r="H62" s="109" t="s">
        <v>2053</v>
      </c>
      <c r="I62" s="109" t="s">
        <v>594</v>
      </c>
      <c r="J62" s="109" t="s">
        <v>2054</v>
      </c>
      <c r="K62" s="109" t="s">
        <v>87</v>
      </c>
      <c r="L62" s="109" t="s">
        <v>595</v>
      </c>
      <c r="M62" s="110" t="s">
        <v>918</v>
      </c>
      <c r="N62" s="111">
        <v>1</v>
      </c>
      <c r="O62" s="112">
        <f t="shared" si="7"/>
        <v>1455200</v>
      </c>
      <c r="P62" s="113">
        <f>1595227-140027</f>
        <v>1455200</v>
      </c>
      <c r="Q62" s="106" t="s">
        <v>395</v>
      </c>
      <c r="R62" s="106" t="s">
        <v>770</v>
      </c>
      <c r="S62" s="108">
        <v>591000000</v>
      </c>
      <c r="T62" s="111">
        <v>30</v>
      </c>
    </row>
    <row r="63" spans="1:20" s="131" customFormat="1" ht="63.75">
      <c r="A63" s="130"/>
      <c r="B63" s="106">
        <v>1590</v>
      </c>
      <c r="C63" s="115" t="s">
        <v>714</v>
      </c>
      <c r="D63" s="108" t="s">
        <v>601</v>
      </c>
      <c r="E63" s="108" t="s">
        <v>593</v>
      </c>
      <c r="F63" s="109" t="s">
        <v>2053</v>
      </c>
      <c r="G63" s="109" t="s">
        <v>713</v>
      </c>
      <c r="H63" s="109" t="s">
        <v>2053</v>
      </c>
      <c r="I63" s="109" t="s">
        <v>594</v>
      </c>
      <c r="J63" s="109" t="s">
        <v>2054</v>
      </c>
      <c r="K63" s="109" t="s">
        <v>87</v>
      </c>
      <c r="L63" s="109" t="s">
        <v>595</v>
      </c>
      <c r="M63" s="110" t="s">
        <v>918</v>
      </c>
      <c r="N63" s="111">
        <v>1</v>
      </c>
      <c r="O63" s="112">
        <f t="shared" si="7"/>
        <v>3982380</v>
      </c>
      <c r="P63" s="113">
        <f>4153346-170966</f>
        <v>3982380</v>
      </c>
      <c r="Q63" s="106" t="s">
        <v>395</v>
      </c>
      <c r="R63" s="106" t="s">
        <v>770</v>
      </c>
      <c r="S63" s="108" t="s">
        <v>2037</v>
      </c>
      <c r="T63" s="111">
        <v>30</v>
      </c>
    </row>
    <row r="64" spans="1:20" s="131" customFormat="1" ht="63.75">
      <c r="A64" s="130"/>
      <c r="B64" s="106">
        <v>1591</v>
      </c>
      <c r="C64" s="107" t="s">
        <v>714</v>
      </c>
      <c r="D64" s="132" t="s">
        <v>601</v>
      </c>
      <c r="E64" s="108" t="s">
        <v>617</v>
      </c>
      <c r="F64" s="109" t="s">
        <v>2027</v>
      </c>
      <c r="G64" s="109" t="s">
        <v>618</v>
      </c>
      <c r="H64" s="109" t="s">
        <v>2324</v>
      </c>
      <c r="I64" s="109" t="s">
        <v>619</v>
      </c>
      <c r="J64" s="109" t="s">
        <v>2325</v>
      </c>
      <c r="K64" s="109" t="s">
        <v>340</v>
      </c>
      <c r="L64" s="109" t="s">
        <v>595</v>
      </c>
      <c r="M64" s="110" t="s">
        <v>918</v>
      </c>
      <c r="N64" s="111">
        <v>1</v>
      </c>
      <c r="O64" s="112">
        <f>P64/N64</f>
        <v>748530</v>
      </c>
      <c r="P64" s="113">
        <f>760714-12184</f>
        <v>748530</v>
      </c>
      <c r="Q64" s="106" t="s">
        <v>395</v>
      </c>
      <c r="R64" s="106" t="s">
        <v>770</v>
      </c>
      <c r="S64" s="108" t="s">
        <v>2038</v>
      </c>
      <c r="T64" s="111">
        <v>30</v>
      </c>
    </row>
    <row r="65" spans="1:20" s="131" customFormat="1" ht="63.75">
      <c r="A65" s="130"/>
      <c r="B65" s="106">
        <v>1592</v>
      </c>
      <c r="C65" s="107" t="s">
        <v>714</v>
      </c>
      <c r="D65" s="132" t="s">
        <v>601</v>
      </c>
      <c r="E65" s="108" t="s">
        <v>617</v>
      </c>
      <c r="F65" s="109" t="s">
        <v>2027</v>
      </c>
      <c r="G65" s="109" t="s">
        <v>618</v>
      </c>
      <c r="H65" s="109" t="s">
        <v>2324</v>
      </c>
      <c r="I65" s="109" t="s">
        <v>619</v>
      </c>
      <c r="J65" s="109" t="s">
        <v>2325</v>
      </c>
      <c r="K65" s="109" t="s">
        <v>340</v>
      </c>
      <c r="L65" s="109" t="s">
        <v>595</v>
      </c>
      <c r="M65" s="110" t="s">
        <v>918</v>
      </c>
      <c r="N65" s="111">
        <v>1</v>
      </c>
      <c r="O65" s="112">
        <f t="shared" ref="O65:O69" si="8">P65/N65</f>
        <v>740400</v>
      </c>
      <c r="P65" s="113">
        <f>760714-20314</f>
        <v>740400</v>
      </c>
      <c r="Q65" s="106" t="s">
        <v>395</v>
      </c>
      <c r="R65" s="106" t="s">
        <v>770</v>
      </c>
      <c r="S65" s="108" t="s">
        <v>1025</v>
      </c>
      <c r="T65" s="111">
        <v>30</v>
      </c>
    </row>
    <row r="66" spans="1:20" s="131" customFormat="1" ht="63.75">
      <c r="A66" s="130"/>
      <c r="B66" s="106">
        <v>1593</v>
      </c>
      <c r="C66" s="107" t="s">
        <v>714</v>
      </c>
      <c r="D66" s="132" t="s">
        <v>601</v>
      </c>
      <c r="E66" s="108" t="s">
        <v>617</v>
      </c>
      <c r="F66" s="109" t="s">
        <v>2027</v>
      </c>
      <c r="G66" s="109" t="s">
        <v>618</v>
      </c>
      <c r="H66" s="109" t="s">
        <v>2324</v>
      </c>
      <c r="I66" s="109" t="s">
        <v>619</v>
      </c>
      <c r="J66" s="109" t="s">
        <v>2325</v>
      </c>
      <c r="K66" s="109" t="s">
        <v>340</v>
      </c>
      <c r="L66" s="109" t="s">
        <v>595</v>
      </c>
      <c r="M66" s="110" t="s">
        <v>918</v>
      </c>
      <c r="N66" s="111">
        <v>1</v>
      </c>
      <c r="O66" s="112">
        <f t="shared" si="8"/>
        <v>1130000</v>
      </c>
      <c r="P66" s="113">
        <f>1150000-20000</f>
        <v>1130000</v>
      </c>
      <c r="Q66" s="106" t="s">
        <v>395</v>
      </c>
      <c r="R66" s="106" t="s">
        <v>770</v>
      </c>
      <c r="S66" s="108" t="s">
        <v>793</v>
      </c>
      <c r="T66" s="111">
        <v>30</v>
      </c>
    </row>
    <row r="67" spans="1:20" s="114" customFormat="1" ht="63.75">
      <c r="A67" s="116"/>
      <c r="B67" s="106">
        <v>1595</v>
      </c>
      <c r="C67" s="107" t="s">
        <v>714</v>
      </c>
      <c r="D67" s="132" t="s">
        <v>601</v>
      </c>
      <c r="E67" s="108" t="s">
        <v>617</v>
      </c>
      <c r="F67" s="109" t="s">
        <v>2027</v>
      </c>
      <c r="G67" s="109" t="s">
        <v>618</v>
      </c>
      <c r="H67" s="109" t="s">
        <v>2324</v>
      </c>
      <c r="I67" s="109" t="s">
        <v>619</v>
      </c>
      <c r="J67" s="109" t="s">
        <v>2325</v>
      </c>
      <c r="K67" s="109" t="s">
        <v>340</v>
      </c>
      <c r="L67" s="109" t="s">
        <v>595</v>
      </c>
      <c r="M67" s="110" t="s">
        <v>918</v>
      </c>
      <c r="N67" s="111">
        <v>1</v>
      </c>
      <c r="O67" s="112">
        <f t="shared" si="8"/>
        <v>1100000</v>
      </c>
      <c r="P67" s="113">
        <f>1150000-50000</f>
        <v>1100000</v>
      </c>
      <c r="Q67" s="106" t="s">
        <v>395</v>
      </c>
      <c r="R67" s="106" t="s">
        <v>770</v>
      </c>
      <c r="S67" s="108" t="s">
        <v>637</v>
      </c>
      <c r="T67" s="111">
        <v>30</v>
      </c>
    </row>
    <row r="68" spans="1:20" s="131" customFormat="1" ht="63.75">
      <c r="A68" s="130"/>
      <c r="B68" s="106">
        <v>1598</v>
      </c>
      <c r="C68" s="107" t="s">
        <v>714</v>
      </c>
      <c r="D68" s="132" t="s">
        <v>601</v>
      </c>
      <c r="E68" s="108" t="s">
        <v>617</v>
      </c>
      <c r="F68" s="109" t="s">
        <v>2027</v>
      </c>
      <c r="G68" s="109" t="s">
        <v>618</v>
      </c>
      <c r="H68" s="109" t="s">
        <v>2324</v>
      </c>
      <c r="I68" s="109" t="s">
        <v>619</v>
      </c>
      <c r="J68" s="109" t="s">
        <v>2325</v>
      </c>
      <c r="K68" s="109" t="s">
        <v>340</v>
      </c>
      <c r="L68" s="109" t="s">
        <v>595</v>
      </c>
      <c r="M68" s="110" t="s">
        <v>918</v>
      </c>
      <c r="N68" s="111">
        <v>1</v>
      </c>
      <c r="O68" s="112">
        <f t="shared" si="8"/>
        <v>1224000</v>
      </c>
      <c r="P68" s="113">
        <f>1250000-26000</f>
        <v>1224000</v>
      </c>
      <c r="Q68" s="106" t="s">
        <v>395</v>
      </c>
      <c r="R68" s="106" t="s">
        <v>770</v>
      </c>
      <c r="S68" s="108">
        <v>351000000</v>
      </c>
      <c r="T68" s="111">
        <v>30</v>
      </c>
    </row>
    <row r="69" spans="1:20" s="131" customFormat="1" ht="63.75">
      <c r="A69" s="130"/>
      <c r="B69" s="106">
        <v>1603</v>
      </c>
      <c r="C69" s="107" t="s">
        <v>714</v>
      </c>
      <c r="D69" s="132" t="s">
        <v>601</v>
      </c>
      <c r="E69" s="108" t="s">
        <v>617</v>
      </c>
      <c r="F69" s="109" t="s">
        <v>2027</v>
      </c>
      <c r="G69" s="109" t="s">
        <v>618</v>
      </c>
      <c r="H69" s="109" t="s">
        <v>2324</v>
      </c>
      <c r="I69" s="109" t="s">
        <v>619</v>
      </c>
      <c r="J69" s="109" t="s">
        <v>2325</v>
      </c>
      <c r="K69" s="109" t="s">
        <v>340</v>
      </c>
      <c r="L69" s="109" t="s">
        <v>595</v>
      </c>
      <c r="M69" s="110" t="s">
        <v>918</v>
      </c>
      <c r="N69" s="111">
        <v>1</v>
      </c>
      <c r="O69" s="112">
        <f t="shared" si="8"/>
        <v>394216</v>
      </c>
      <c r="P69" s="113">
        <f>1450000-1055784</f>
        <v>394216</v>
      </c>
      <c r="Q69" s="106" t="s">
        <v>395</v>
      </c>
      <c r="R69" s="106" t="s">
        <v>770</v>
      </c>
      <c r="S69" s="108" t="s">
        <v>2037</v>
      </c>
      <c r="T69" s="111">
        <v>30</v>
      </c>
    </row>
    <row r="70" spans="1:20" s="131" customFormat="1" ht="63.75">
      <c r="A70" s="130"/>
      <c r="B70" s="106">
        <v>1620</v>
      </c>
      <c r="C70" s="107" t="s">
        <v>714</v>
      </c>
      <c r="D70" s="132" t="s">
        <v>601</v>
      </c>
      <c r="E70" s="108" t="s">
        <v>593</v>
      </c>
      <c r="F70" s="109" t="s">
        <v>2053</v>
      </c>
      <c r="G70" s="109" t="s">
        <v>713</v>
      </c>
      <c r="H70" s="109" t="s">
        <v>2053</v>
      </c>
      <c r="I70" s="109" t="s">
        <v>594</v>
      </c>
      <c r="J70" s="109" t="s">
        <v>2055</v>
      </c>
      <c r="K70" s="109" t="s">
        <v>341</v>
      </c>
      <c r="L70" s="109" t="s">
        <v>595</v>
      </c>
      <c r="M70" s="110" t="s">
        <v>918</v>
      </c>
      <c r="N70" s="111">
        <v>1</v>
      </c>
      <c r="O70" s="112">
        <f t="shared" ref="O70:O85" si="9">P70/N70</f>
        <v>0</v>
      </c>
      <c r="P70" s="113">
        <f>1787446-1787446</f>
        <v>0</v>
      </c>
      <c r="Q70" s="106" t="s">
        <v>505</v>
      </c>
      <c r="R70" s="106" t="s">
        <v>770</v>
      </c>
      <c r="S70" s="108" t="s">
        <v>2038</v>
      </c>
      <c r="T70" s="111">
        <v>30</v>
      </c>
    </row>
    <row r="71" spans="1:20" s="131" customFormat="1" ht="63.75">
      <c r="A71" s="130"/>
      <c r="B71" s="106">
        <v>1621</v>
      </c>
      <c r="C71" s="115" t="s">
        <v>714</v>
      </c>
      <c r="D71" s="108" t="s">
        <v>601</v>
      </c>
      <c r="E71" s="108" t="s">
        <v>593</v>
      </c>
      <c r="F71" s="109" t="s">
        <v>2053</v>
      </c>
      <c r="G71" s="109" t="s">
        <v>713</v>
      </c>
      <c r="H71" s="109" t="s">
        <v>2053</v>
      </c>
      <c r="I71" s="109" t="s">
        <v>594</v>
      </c>
      <c r="J71" s="109" t="s">
        <v>2055</v>
      </c>
      <c r="K71" s="109" t="s">
        <v>341</v>
      </c>
      <c r="L71" s="109" t="s">
        <v>595</v>
      </c>
      <c r="M71" s="110" t="s">
        <v>918</v>
      </c>
      <c r="N71" s="111">
        <v>1</v>
      </c>
      <c r="O71" s="112">
        <f t="shared" si="9"/>
        <v>0</v>
      </c>
      <c r="P71" s="113">
        <f>1851042-1851042</f>
        <v>0</v>
      </c>
      <c r="Q71" s="106" t="s">
        <v>505</v>
      </c>
      <c r="R71" s="106" t="s">
        <v>770</v>
      </c>
      <c r="S71" s="108" t="s">
        <v>1025</v>
      </c>
      <c r="T71" s="111">
        <v>30</v>
      </c>
    </row>
    <row r="72" spans="1:20" s="131" customFormat="1" ht="63.75">
      <c r="A72" s="130"/>
      <c r="B72" s="106">
        <v>1622</v>
      </c>
      <c r="C72" s="115" t="s">
        <v>714</v>
      </c>
      <c r="D72" s="108" t="s">
        <v>601</v>
      </c>
      <c r="E72" s="108" t="s">
        <v>593</v>
      </c>
      <c r="F72" s="109" t="s">
        <v>2053</v>
      </c>
      <c r="G72" s="109" t="s">
        <v>713</v>
      </c>
      <c r="H72" s="109" t="s">
        <v>2053</v>
      </c>
      <c r="I72" s="109" t="s">
        <v>594</v>
      </c>
      <c r="J72" s="109" t="s">
        <v>2055</v>
      </c>
      <c r="K72" s="109" t="s">
        <v>341</v>
      </c>
      <c r="L72" s="109" t="s">
        <v>595</v>
      </c>
      <c r="M72" s="110" t="s">
        <v>918</v>
      </c>
      <c r="N72" s="111">
        <v>1</v>
      </c>
      <c r="O72" s="112">
        <f t="shared" si="9"/>
        <v>0</v>
      </c>
      <c r="P72" s="113">
        <f>4075788-4075788</f>
        <v>0</v>
      </c>
      <c r="Q72" s="106" t="s">
        <v>505</v>
      </c>
      <c r="R72" s="106" t="s">
        <v>770</v>
      </c>
      <c r="S72" s="108" t="s">
        <v>793</v>
      </c>
      <c r="T72" s="106">
        <v>30</v>
      </c>
    </row>
    <row r="73" spans="1:20" s="131" customFormat="1" ht="63.75">
      <c r="A73" s="130"/>
      <c r="B73" s="106">
        <v>1623</v>
      </c>
      <c r="C73" s="115" t="s">
        <v>714</v>
      </c>
      <c r="D73" s="108" t="s">
        <v>601</v>
      </c>
      <c r="E73" s="108" t="s">
        <v>593</v>
      </c>
      <c r="F73" s="109" t="s">
        <v>2053</v>
      </c>
      <c r="G73" s="109" t="s">
        <v>713</v>
      </c>
      <c r="H73" s="109" t="s">
        <v>2053</v>
      </c>
      <c r="I73" s="109" t="s">
        <v>594</v>
      </c>
      <c r="J73" s="109" t="s">
        <v>2055</v>
      </c>
      <c r="K73" s="109" t="s">
        <v>341</v>
      </c>
      <c r="L73" s="109" t="s">
        <v>595</v>
      </c>
      <c r="M73" s="110" t="s">
        <v>918</v>
      </c>
      <c r="N73" s="111">
        <v>1</v>
      </c>
      <c r="O73" s="112">
        <f t="shared" si="9"/>
        <v>0</v>
      </c>
      <c r="P73" s="113">
        <f>3396428-3396428</f>
        <v>0</v>
      </c>
      <c r="Q73" s="106" t="s">
        <v>505</v>
      </c>
      <c r="R73" s="106" t="s">
        <v>770</v>
      </c>
      <c r="S73" s="108" t="s">
        <v>2030</v>
      </c>
      <c r="T73" s="111">
        <v>30</v>
      </c>
    </row>
    <row r="74" spans="1:20" s="131" customFormat="1" ht="63.75">
      <c r="B74" s="106">
        <v>1624</v>
      </c>
      <c r="C74" s="115" t="s">
        <v>714</v>
      </c>
      <c r="D74" s="108" t="s">
        <v>601</v>
      </c>
      <c r="E74" s="108" t="s">
        <v>593</v>
      </c>
      <c r="F74" s="109" t="s">
        <v>2053</v>
      </c>
      <c r="G74" s="109" t="s">
        <v>713</v>
      </c>
      <c r="H74" s="109" t="s">
        <v>2053</v>
      </c>
      <c r="I74" s="109" t="s">
        <v>594</v>
      </c>
      <c r="J74" s="109" t="s">
        <v>2055</v>
      </c>
      <c r="K74" s="109" t="s">
        <v>341</v>
      </c>
      <c r="L74" s="109" t="s">
        <v>595</v>
      </c>
      <c r="M74" s="110" t="s">
        <v>918</v>
      </c>
      <c r="N74" s="111">
        <v>1</v>
      </c>
      <c r="O74" s="112">
        <f t="shared" si="9"/>
        <v>0</v>
      </c>
      <c r="P74" s="113">
        <f>3770428-3770428</f>
        <v>0</v>
      </c>
      <c r="Q74" s="106" t="s">
        <v>505</v>
      </c>
      <c r="R74" s="106" t="s">
        <v>770</v>
      </c>
      <c r="S74" s="108" t="s">
        <v>2035</v>
      </c>
      <c r="T74" s="111">
        <v>30</v>
      </c>
    </row>
    <row r="75" spans="1:20" s="131" customFormat="1" ht="63.75">
      <c r="A75" s="116"/>
      <c r="B75" s="106">
        <v>1625</v>
      </c>
      <c r="C75" s="115" t="s">
        <v>714</v>
      </c>
      <c r="D75" s="108" t="s">
        <v>601</v>
      </c>
      <c r="E75" s="108" t="s">
        <v>593</v>
      </c>
      <c r="F75" s="109" t="s">
        <v>2053</v>
      </c>
      <c r="G75" s="109" t="s">
        <v>713</v>
      </c>
      <c r="H75" s="109" t="s">
        <v>2053</v>
      </c>
      <c r="I75" s="109" t="s">
        <v>594</v>
      </c>
      <c r="J75" s="109" t="s">
        <v>2055</v>
      </c>
      <c r="K75" s="109" t="s">
        <v>341</v>
      </c>
      <c r="L75" s="109" t="s">
        <v>595</v>
      </c>
      <c r="M75" s="110" t="s">
        <v>918</v>
      </c>
      <c r="N75" s="111">
        <v>1</v>
      </c>
      <c r="O75" s="112">
        <f t="shared" si="9"/>
        <v>0</v>
      </c>
      <c r="P75" s="113">
        <f>1458118-1458118</f>
        <v>0</v>
      </c>
      <c r="Q75" s="106" t="s">
        <v>505</v>
      </c>
      <c r="R75" s="106" t="s">
        <v>770</v>
      </c>
      <c r="S75" s="108" t="s">
        <v>2031</v>
      </c>
      <c r="T75" s="111">
        <v>30</v>
      </c>
    </row>
    <row r="76" spans="1:20" s="114" customFormat="1" ht="63.75">
      <c r="A76" s="116"/>
      <c r="B76" s="106">
        <v>1626</v>
      </c>
      <c r="C76" s="115" t="s">
        <v>714</v>
      </c>
      <c r="D76" s="108" t="s">
        <v>601</v>
      </c>
      <c r="E76" s="108" t="s">
        <v>593</v>
      </c>
      <c r="F76" s="109" t="s">
        <v>2053</v>
      </c>
      <c r="G76" s="109" t="s">
        <v>713</v>
      </c>
      <c r="H76" s="109" t="s">
        <v>2053</v>
      </c>
      <c r="I76" s="109" t="s">
        <v>594</v>
      </c>
      <c r="J76" s="109" t="s">
        <v>2055</v>
      </c>
      <c r="K76" s="109" t="s">
        <v>341</v>
      </c>
      <c r="L76" s="109" t="s">
        <v>595</v>
      </c>
      <c r="M76" s="110" t="s">
        <v>918</v>
      </c>
      <c r="N76" s="111">
        <v>1</v>
      </c>
      <c r="O76" s="112">
        <f t="shared" si="9"/>
        <v>0</v>
      </c>
      <c r="P76" s="113">
        <f>2793768-2793768</f>
        <v>0</v>
      </c>
      <c r="Q76" s="106" t="s">
        <v>505</v>
      </c>
      <c r="R76" s="106" t="s">
        <v>770</v>
      </c>
      <c r="S76" s="108" t="s">
        <v>637</v>
      </c>
      <c r="T76" s="111">
        <v>30</v>
      </c>
    </row>
    <row r="77" spans="1:20" s="134" customFormat="1" ht="63.75">
      <c r="A77" s="133"/>
      <c r="B77" s="106">
        <v>1627</v>
      </c>
      <c r="C77" s="115" t="s">
        <v>714</v>
      </c>
      <c r="D77" s="108" t="s">
        <v>601</v>
      </c>
      <c r="E77" s="108" t="s">
        <v>593</v>
      </c>
      <c r="F77" s="109" t="s">
        <v>2053</v>
      </c>
      <c r="G77" s="109" t="s">
        <v>713</v>
      </c>
      <c r="H77" s="109" t="s">
        <v>2053</v>
      </c>
      <c r="I77" s="109" t="s">
        <v>594</v>
      </c>
      <c r="J77" s="109" t="s">
        <v>2055</v>
      </c>
      <c r="K77" s="109" t="s">
        <v>341</v>
      </c>
      <c r="L77" s="109" t="s">
        <v>595</v>
      </c>
      <c r="M77" s="110" t="s">
        <v>918</v>
      </c>
      <c r="N77" s="111">
        <v>1</v>
      </c>
      <c r="O77" s="112">
        <f t="shared" si="9"/>
        <v>0</v>
      </c>
      <c r="P77" s="113">
        <f>1856561-1856561</f>
        <v>0</v>
      </c>
      <c r="Q77" s="106" t="s">
        <v>505</v>
      </c>
      <c r="R77" s="106" t="s">
        <v>770</v>
      </c>
      <c r="S77" s="108">
        <v>311000000</v>
      </c>
      <c r="T77" s="111">
        <v>30</v>
      </c>
    </row>
    <row r="78" spans="1:20" s="136" customFormat="1" ht="63.75">
      <c r="A78" s="135"/>
      <c r="B78" s="106">
        <v>1628</v>
      </c>
      <c r="C78" s="115" t="s">
        <v>714</v>
      </c>
      <c r="D78" s="108" t="s">
        <v>601</v>
      </c>
      <c r="E78" s="108" t="s">
        <v>593</v>
      </c>
      <c r="F78" s="109" t="s">
        <v>2053</v>
      </c>
      <c r="G78" s="109" t="s">
        <v>713</v>
      </c>
      <c r="H78" s="109" t="s">
        <v>2053</v>
      </c>
      <c r="I78" s="109" t="s">
        <v>594</v>
      </c>
      <c r="J78" s="109" t="s">
        <v>2055</v>
      </c>
      <c r="K78" s="109" t="s">
        <v>341</v>
      </c>
      <c r="L78" s="109" t="s">
        <v>595</v>
      </c>
      <c r="M78" s="110" t="s">
        <v>918</v>
      </c>
      <c r="N78" s="111">
        <v>1</v>
      </c>
      <c r="O78" s="112">
        <f t="shared" si="9"/>
        <v>0</v>
      </c>
      <c r="P78" s="113">
        <f>2055936-2055936</f>
        <v>0</v>
      </c>
      <c r="Q78" s="106" t="s">
        <v>505</v>
      </c>
      <c r="R78" s="106" t="s">
        <v>770</v>
      </c>
      <c r="S78" s="108" t="s">
        <v>2032</v>
      </c>
      <c r="T78" s="111">
        <v>30</v>
      </c>
    </row>
    <row r="79" spans="1:20" s="131" customFormat="1" ht="63.75">
      <c r="A79" s="130"/>
      <c r="B79" s="106">
        <v>1629</v>
      </c>
      <c r="C79" s="115" t="s">
        <v>714</v>
      </c>
      <c r="D79" s="108" t="s">
        <v>601</v>
      </c>
      <c r="E79" s="108" t="s">
        <v>593</v>
      </c>
      <c r="F79" s="109" t="s">
        <v>2053</v>
      </c>
      <c r="G79" s="109" t="s">
        <v>713</v>
      </c>
      <c r="H79" s="109" t="s">
        <v>2053</v>
      </c>
      <c r="I79" s="109" t="s">
        <v>594</v>
      </c>
      <c r="J79" s="109" t="s">
        <v>2055</v>
      </c>
      <c r="K79" s="109" t="s">
        <v>341</v>
      </c>
      <c r="L79" s="109" t="s">
        <v>595</v>
      </c>
      <c r="M79" s="110" t="s">
        <v>918</v>
      </c>
      <c r="N79" s="111">
        <v>1</v>
      </c>
      <c r="O79" s="112">
        <f t="shared" si="9"/>
        <v>0</v>
      </c>
      <c r="P79" s="113">
        <f>2978571-2978571</f>
        <v>0</v>
      </c>
      <c r="Q79" s="106" t="s">
        <v>505</v>
      </c>
      <c r="R79" s="106" t="s">
        <v>770</v>
      </c>
      <c r="S79" s="108">
        <v>351000000</v>
      </c>
      <c r="T79" s="111">
        <v>30</v>
      </c>
    </row>
    <row r="80" spans="1:20" s="114" customFormat="1" ht="63.75">
      <c r="A80" s="116"/>
      <c r="B80" s="106">
        <v>1630</v>
      </c>
      <c r="C80" s="115" t="s">
        <v>714</v>
      </c>
      <c r="D80" s="108" t="s">
        <v>601</v>
      </c>
      <c r="E80" s="108" t="s">
        <v>593</v>
      </c>
      <c r="F80" s="109" t="s">
        <v>2053</v>
      </c>
      <c r="G80" s="109" t="s">
        <v>713</v>
      </c>
      <c r="H80" s="109" t="s">
        <v>2053</v>
      </c>
      <c r="I80" s="109" t="s">
        <v>594</v>
      </c>
      <c r="J80" s="109" t="s">
        <v>2055</v>
      </c>
      <c r="K80" s="109" t="s">
        <v>341</v>
      </c>
      <c r="L80" s="109" t="s">
        <v>595</v>
      </c>
      <c r="M80" s="110" t="s">
        <v>918</v>
      </c>
      <c r="N80" s="111">
        <v>1</v>
      </c>
      <c r="O80" s="112">
        <f t="shared" si="9"/>
        <v>0</v>
      </c>
      <c r="P80" s="113">
        <f>1644094-1644094</f>
        <v>0</v>
      </c>
      <c r="Q80" s="106" t="s">
        <v>505</v>
      </c>
      <c r="R80" s="106" t="s">
        <v>770</v>
      </c>
      <c r="S80" s="108" t="s">
        <v>929</v>
      </c>
      <c r="T80" s="111">
        <v>30</v>
      </c>
    </row>
    <row r="81" spans="1:20" s="131" customFormat="1" ht="63.75">
      <c r="A81" s="130"/>
      <c r="B81" s="106">
        <v>1631</v>
      </c>
      <c r="C81" s="115" t="s">
        <v>714</v>
      </c>
      <c r="D81" s="108" t="s">
        <v>601</v>
      </c>
      <c r="E81" s="108" t="s">
        <v>593</v>
      </c>
      <c r="F81" s="109" t="s">
        <v>2053</v>
      </c>
      <c r="G81" s="109" t="s">
        <v>713</v>
      </c>
      <c r="H81" s="109" t="s">
        <v>2053</v>
      </c>
      <c r="I81" s="109" t="s">
        <v>594</v>
      </c>
      <c r="J81" s="109" t="s">
        <v>2055</v>
      </c>
      <c r="K81" s="109" t="s">
        <v>341</v>
      </c>
      <c r="L81" s="109" t="s">
        <v>595</v>
      </c>
      <c r="M81" s="110" t="s">
        <v>918</v>
      </c>
      <c r="N81" s="111">
        <v>1</v>
      </c>
      <c r="O81" s="112">
        <f t="shared" si="9"/>
        <v>0</v>
      </c>
      <c r="P81" s="113">
        <f>1182462-1182462</f>
        <v>0</v>
      </c>
      <c r="Q81" s="106" t="s">
        <v>505</v>
      </c>
      <c r="R81" s="106" t="s">
        <v>770</v>
      </c>
      <c r="S81" s="108">
        <v>431000000</v>
      </c>
      <c r="T81" s="111">
        <v>30</v>
      </c>
    </row>
    <row r="82" spans="1:20" s="114" customFormat="1" ht="63.75">
      <c r="A82" s="116"/>
      <c r="B82" s="106">
        <v>1632</v>
      </c>
      <c r="C82" s="107" t="s">
        <v>714</v>
      </c>
      <c r="D82" s="137" t="s">
        <v>601</v>
      </c>
      <c r="E82" s="108" t="s">
        <v>593</v>
      </c>
      <c r="F82" s="109" t="s">
        <v>2053</v>
      </c>
      <c r="G82" s="109" t="s">
        <v>713</v>
      </c>
      <c r="H82" s="109" t="s">
        <v>2053</v>
      </c>
      <c r="I82" s="109" t="s">
        <v>594</v>
      </c>
      <c r="J82" s="109" t="s">
        <v>2055</v>
      </c>
      <c r="K82" s="109" t="s">
        <v>341</v>
      </c>
      <c r="L82" s="109" t="s">
        <v>595</v>
      </c>
      <c r="M82" s="110" t="s">
        <v>918</v>
      </c>
      <c r="N82" s="111">
        <v>1</v>
      </c>
      <c r="O82" s="112">
        <f t="shared" si="9"/>
        <v>0</v>
      </c>
      <c r="P82" s="113">
        <f>1980123-1980123</f>
        <v>0</v>
      </c>
      <c r="Q82" s="106" t="s">
        <v>505</v>
      </c>
      <c r="R82" s="106" t="s">
        <v>770</v>
      </c>
      <c r="S82" s="108" t="s">
        <v>719</v>
      </c>
      <c r="T82" s="111">
        <v>30</v>
      </c>
    </row>
    <row r="83" spans="1:20" s="138" customFormat="1" ht="63.75">
      <c r="B83" s="106">
        <v>1633</v>
      </c>
      <c r="C83" s="115" t="s">
        <v>714</v>
      </c>
      <c r="D83" s="108" t="s">
        <v>601</v>
      </c>
      <c r="E83" s="108" t="s">
        <v>593</v>
      </c>
      <c r="F83" s="109" t="s">
        <v>2053</v>
      </c>
      <c r="G83" s="109" t="s">
        <v>713</v>
      </c>
      <c r="H83" s="109" t="s">
        <v>2053</v>
      </c>
      <c r="I83" s="109" t="s">
        <v>594</v>
      </c>
      <c r="J83" s="109" t="s">
        <v>2055</v>
      </c>
      <c r="K83" s="109" t="s">
        <v>341</v>
      </c>
      <c r="L83" s="109" t="s">
        <v>595</v>
      </c>
      <c r="M83" s="110" t="s">
        <v>918</v>
      </c>
      <c r="N83" s="111">
        <v>1</v>
      </c>
      <c r="O83" s="112">
        <f t="shared" si="9"/>
        <v>0</v>
      </c>
      <c r="P83" s="113">
        <f>1875696-1875696</f>
        <v>0</v>
      </c>
      <c r="Q83" s="106" t="s">
        <v>505</v>
      </c>
      <c r="R83" s="106" t="s">
        <v>770</v>
      </c>
      <c r="S83" s="108">
        <v>551000000</v>
      </c>
      <c r="T83" s="111">
        <v>30</v>
      </c>
    </row>
    <row r="84" spans="1:20" s="131" customFormat="1" ht="63.75">
      <c r="A84" s="130"/>
      <c r="B84" s="106">
        <v>1634</v>
      </c>
      <c r="C84" s="115" t="s">
        <v>945</v>
      </c>
      <c r="D84" s="106" t="s">
        <v>601</v>
      </c>
      <c r="E84" s="108" t="s">
        <v>593</v>
      </c>
      <c r="F84" s="109" t="s">
        <v>2053</v>
      </c>
      <c r="G84" s="109" t="s">
        <v>713</v>
      </c>
      <c r="H84" s="109" t="s">
        <v>2053</v>
      </c>
      <c r="I84" s="109" t="s">
        <v>594</v>
      </c>
      <c r="J84" s="109" t="s">
        <v>2055</v>
      </c>
      <c r="K84" s="109" t="s">
        <v>341</v>
      </c>
      <c r="L84" s="109" t="s">
        <v>595</v>
      </c>
      <c r="M84" s="110" t="s">
        <v>918</v>
      </c>
      <c r="N84" s="111">
        <v>1</v>
      </c>
      <c r="O84" s="112">
        <f t="shared" si="9"/>
        <v>0</v>
      </c>
      <c r="P84" s="113">
        <f>1196916-1196916</f>
        <v>0</v>
      </c>
      <c r="Q84" s="106" t="s">
        <v>505</v>
      </c>
      <c r="R84" s="106" t="s">
        <v>770</v>
      </c>
      <c r="S84" s="108">
        <v>591000000</v>
      </c>
      <c r="T84" s="111">
        <v>30</v>
      </c>
    </row>
    <row r="85" spans="1:20" s="131" customFormat="1" ht="63.75">
      <c r="A85" s="130"/>
      <c r="B85" s="106">
        <v>1635</v>
      </c>
      <c r="C85" s="115" t="s">
        <v>714</v>
      </c>
      <c r="D85" s="108" t="s">
        <v>601</v>
      </c>
      <c r="E85" s="108" t="s">
        <v>593</v>
      </c>
      <c r="F85" s="109" t="s">
        <v>2053</v>
      </c>
      <c r="G85" s="109" t="s">
        <v>713</v>
      </c>
      <c r="H85" s="109" t="s">
        <v>2053</v>
      </c>
      <c r="I85" s="109" t="s">
        <v>594</v>
      </c>
      <c r="J85" s="109" t="s">
        <v>2055</v>
      </c>
      <c r="K85" s="109" t="s">
        <v>341</v>
      </c>
      <c r="L85" s="109" t="s">
        <v>595</v>
      </c>
      <c r="M85" s="110" t="s">
        <v>918</v>
      </c>
      <c r="N85" s="111">
        <v>1</v>
      </c>
      <c r="O85" s="112">
        <f t="shared" si="9"/>
        <v>0</v>
      </c>
      <c r="P85" s="113">
        <f>3795812-3795812</f>
        <v>0</v>
      </c>
      <c r="Q85" s="106" t="s">
        <v>505</v>
      </c>
      <c r="R85" s="106" t="s">
        <v>770</v>
      </c>
      <c r="S85" s="108" t="s">
        <v>2037</v>
      </c>
      <c r="T85" s="106">
        <v>30</v>
      </c>
    </row>
    <row r="86" spans="1:20" s="145" customFormat="1" ht="57" customHeight="1">
      <c r="B86" s="106">
        <v>1861</v>
      </c>
      <c r="C86" s="146" t="s">
        <v>714</v>
      </c>
      <c r="D86" s="119" t="s">
        <v>601</v>
      </c>
      <c r="E86" s="108" t="s">
        <v>706</v>
      </c>
      <c r="F86" s="108" t="s">
        <v>781</v>
      </c>
      <c r="G86" s="108" t="s">
        <v>707</v>
      </c>
      <c r="H86" s="108" t="s">
        <v>781</v>
      </c>
      <c r="I86" s="108" t="s">
        <v>707</v>
      </c>
      <c r="J86" s="108" t="s">
        <v>2395</v>
      </c>
      <c r="K86" s="108" t="s">
        <v>2396</v>
      </c>
      <c r="L86" s="109" t="s">
        <v>1490</v>
      </c>
      <c r="M86" s="110" t="s">
        <v>918</v>
      </c>
      <c r="N86" s="147">
        <v>1</v>
      </c>
      <c r="O86" s="112">
        <v>3307000</v>
      </c>
      <c r="P86" s="112">
        <f>3307000+5756250</f>
        <v>9063250</v>
      </c>
      <c r="Q86" s="148" t="s">
        <v>505</v>
      </c>
      <c r="R86" s="108" t="s">
        <v>770</v>
      </c>
      <c r="S86" s="108" t="s">
        <v>2030</v>
      </c>
      <c r="T86" s="148">
        <v>0</v>
      </c>
    </row>
    <row r="87" spans="1:20" s="114" customFormat="1" ht="51">
      <c r="A87" s="116"/>
      <c r="B87" s="106">
        <v>1911</v>
      </c>
      <c r="C87" s="115" t="s">
        <v>714</v>
      </c>
      <c r="D87" s="108" t="s">
        <v>601</v>
      </c>
      <c r="E87" s="108" t="s">
        <v>1470</v>
      </c>
      <c r="F87" s="109" t="s">
        <v>2013</v>
      </c>
      <c r="G87" s="109" t="s">
        <v>1471</v>
      </c>
      <c r="H87" s="109" t="s">
        <v>2013</v>
      </c>
      <c r="I87" s="109" t="s">
        <v>1471</v>
      </c>
      <c r="J87" s="109" t="s">
        <v>2578</v>
      </c>
      <c r="K87" s="109" t="s">
        <v>2576</v>
      </c>
      <c r="L87" s="109" t="s">
        <v>595</v>
      </c>
      <c r="M87" s="110" t="s">
        <v>918</v>
      </c>
      <c r="N87" s="111">
        <v>1</v>
      </c>
      <c r="O87" s="112">
        <f>P87/N87</f>
        <v>0</v>
      </c>
      <c r="P87" s="113">
        <f>8928571-8928571</f>
        <v>0</v>
      </c>
      <c r="Q87" s="106" t="s">
        <v>702</v>
      </c>
      <c r="R87" s="115" t="s">
        <v>590</v>
      </c>
      <c r="S87" s="108" t="s">
        <v>1179</v>
      </c>
      <c r="T87" s="111">
        <v>30</v>
      </c>
    </row>
    <row r="88" spans="1:20" s="114" customFormat="1" ht="38.25">
      <c r="A88" s="116"/>
      <c r="B88" s="106">
        <v>1912</v>
      </c>
      <c r="C88" s="115" t="s">
        <v>714</v>
      </c>
      <c r="D88" s="108" t="s">
        <v>601</v>
      </c>
      <c r="E88" s="108" t="s">
        <v>1470</v>
      </c>
      <c r="F88" s="109" t="s">
        <v>2013</v>
      </c>
      <c r="G88" s="109" t="s">
        <v>1471</v>
      </c>
      <c r="H88" s="109" t="s">
        <v>2013</v>
      </c>
      <c r="I88" s="109" t="s">
        <v>1471</v>
      </c>
      <c r="J88" s="109" t="s">
        <v>2579</v>
      </c>
      <c r="K88" s="109" t="s">
        <v>2577</v>
      </c>
      <c r="L88" s="109" t="s">
        <v>595</v>
      </c>
      <c r="M88" s="110" t="s">
        <v>918</v>
      </c>
      <c r="N88" s="111">
        <v>1</v>
      </c>
      <c r="O88" s="112">
        <f>P88/N88</f>
        <v>0</v>
      </c>
      <c r="P88" s="113">
        <f>2412632-2412632</f>
        <v>0</v>
      </c>
      <c r="Q88" s="106" t="s">
        <v>616</v>
      </c>
      <c r="R88" s="115" t="s">
        <v>506</v>
      </c>
      <c r="S88" s="108" t="s">
        <v>1179</v>
      </c>
      <c r="T88" s="111">
        <v>50</v>
      </c>
    </row>
    <row r="89" spans="1:20" s="114" customFormat="1" ht="63.75">
      <c r="A89" s="116"/>
      <c r="B89" s="106">
        <v>2045</v>
      </c>
      <c r="C89" s="115" t="s">
        <v>714</v>
      </c>
      <c r="D89" s="108" t="s">
        <v>601</v>
      </c>
      <c r="E89" s="108" t="s">
        <v>1470</v>
      </c>
      <c r="F89" s="109" t="s">
        <v>2013</v>
      </c>
      <c r="G89" s="109" t="s">
        <v>1471</v>
      </c>
      <c r="H89" s="109" t="s">
        <v>2013</v>
      </c>
      <c r="I89" s="109" t="s">
        <v>1471</v>
      </c>
      <c r="J89" s="109" t="s">
        <v>3026</v>
      </c>
      <c r="K89" s="109" t="s">
        <v>3025</v>
      </c>
      <c r="L89" s="109" t="s">
        <v>595</v>
      </c>
      <c r="M89" s="110" t="s">
        <v>918</v>
      </c>
      <c r="N89" s="111">
        <v>1</v>
      </c>
      <c r="O89" s="112">
        <f>P89/N89</f>
        <v>3000000</v>
      </c>
      <c r="P89" s="113">
        <v>3000000</v>
      </c>
      <c r="Q89" s="106" t="s">
        <v>505</v>
      </c>
      <c r="R89" s="115" t="s">
        <v>505</v>
      </c>
      <c r="S89" s="108" t="s">
        <v>1179</v>
      </c>
      <c r="T89" s="111">
        <v>30</v>
      </c>
    </row>
    <row r="90" spans="1:20" s="118" customFormat="1" ht="76.5">
      <c r="A90" s="117"/>
      <c r="B90" s="106">
        <v>2046</v>
      </c>
      <c r="C90" s="115" t="s">
        <v>714</v>
      </c>
      <c r="D90" s="108" t="s">
        <v>601</v>
      </c>
      <c r="E90" s="108" t="s">
        <v>511</v>
      </c>
      <c r="F90" s="109" t="s">
        <v>1953</v>
      </c>
      <c r="G90" s="109" t="s">
        <v>513</v>
      </c>
      <c r="H90" s="109" t="s">
        <v>2414</v>
      </c>
      <c r="I90" s="109" t="s">
        <v>514</v>
      </c>
      <c r="J90" s="109" t="s">
        <v>3028</v>
      </c>
      <c r="K90" s="109" t="s">
        <v>3027</v>
      </c>
      <c r="L90" s="109" t="s">
        <v>595</v>
      </c>
      <c r="M90" s="110" t="s">
        <v>918</v>
      </c>
      <c r="N90" s="111">
        <v>1</v>
      </c>
      <c r="O90" s="112">
        <f>P90/N90</f>
        <v>10867765</v>
      </c>
      <c r="P90" s="113">
        <v>10867765</v>
      </c>
      <c r="Q90" s="119" t="s">
        <v>505</v>
      </c>
      <c r="R90" s="106" t="s">
        <v>506</v>
      </c>
      <c r="S90" s="108" t="s">
        <v>1179</v>
      </c>
      <c r="T90" s="106">
        <v>30</v>
      </c>
    </row>
    <row r="91" spans="1:20" s="134" customFormat="1" ht="63.75">
      <c r="A91" s="133"/>
      <c r="B91" s="106">
        <v>2047</v>
      </c>
      <c r="C91" s="115" t="s">
        <v>714</v>
      </c>
      <c r="D91" s="108" t="s">
        <v>601</v>
      </c>
      <c r="E91" s="108" t="s">
        <v>593</v>
      </c>
      <c r="F91" s="109" t="s">
        <v>2053</v>
      </c>
      <c r="G91" s="109" t="s">
        <v>713</v>
      </c>
      <c r="H91" s="109" t="s">
        <v>2053</v>
      </c>
      <c r="I91" s="109" t="s">
        <v>594</v>
      </c>
      <c r="J91" s="109" t="s">
        <v>2055</v>
      </c>
      <c r="K91" s="109" t="s">
        <v>341</v>
      </c>
      <c r="L91" s="109" t="s">
        <v>595</v>
      </c>
      <c r="M91" s="110" t="s">
        <v>918</v>
      </c>
      <c r="N91" s="111">
        <v>1</v>
      </c>
      <c r="O91" s="112">
        <f t="shared" ref="O91" si="10">P91/N91</f>
        <v>50000000</v>
      </c>
      <c r="P91" s="113">
        <v>50000000</v>
      </c>
      <c r="Q91" s="106" t="s">
        <v>506</v>
      </c>
      <c r="R91" s="106" t="s">
        <v>3029</v>
      </c>
      <c r="S91" s="108" t="s">
        <v>1179</v>
      </c>
      <c r="T91" s="111">
        <v>30</v>
      </c>
    </row>
    <row r="92" spans="1:20" s="114" customFormat="1" ht="114.75">
      <c r="A92" s="116"/>
      <c r="B92" s="106">
        <v>2048</v>
      </c>
      <c r="C92" s="115" t="s">
        <v>714</v>
      </c>
      <c r="D92" s="108" t="s">
        <v>601</v>
      </c>
      <c r="E92" s="108" t="s">
        <v>1272</v>
      </c>
      <c r="F92" s="120" t="s">
        <v>1874</v>
      </c>
      <c r="G92" s="120" t="s">
        <v>3030</v>
      </c>
      <c r="H92" s="120" t="s">
        <v>1874</v>
      </c>
      <c r="I92" s="120" t="s">
        <v>1274</v>
      </c>
      <c r="J92" s="120" t="s">
        <v>3032</v>
      </c>
      <c r="K92" s="120" t="s">
        <v>3031</v>
      </c>
      <c r="L92" s="120" t="s">
        <v>595</v>
      </c>
      <c r="M92" s="110" t="s">
        <v>918</v>
      </c>
      <c r="N92" s="111">
        <v>1</v>
      </c>
      <c r="O92" s="112">
        <f>P92/N92</f>
        <v>2412632</v>
      </c>
      <c r="P92" s="113">
        <f>2412632</f>
        <v>2412632</v>
      </c>
      <c r="Q92" s="106" t="s">
        <v>506</v>
      </c>
      <c r="R92" s="106" t="s">
        <v>3033</v>
      </c>
      <c r="S92" s="108" t="s">
        <v>1179</v>
      </c>
      <c r="T92" s="111">
        <v>50</v>
      </c>
    </row>
    <row r="93" spans="1:20" s="152" customFormat="1" ht="89.25">
      <c r="A93" s="149"/>
      <c r="B93" s="106">
        <v>2049</v>
      </c>
      <c r="C93" s="107" t="s">
        <v>714</v>
      </c>
      <c r="D93" s="132" t="s">
        <v>1469</v>
      </c>
      <c r="E93" s="106" t="s">
        <v>3034</v>
      </c>
      <c r="F93" s="106" t="s">
        <v>3037</v>
      </c>
      <c r="G93" s="106" t="s">
        <v>3035</v>
      </c>
      <c r="H93" s="106" t="s">
        <v>3038</v>
      </c>
      <c r="I93" s="108" t="s">
        <v>3036</v>
      </c>
      <c r="J93" s="106" t="s">
        <v>3040</v>
      </c>
      <c r="K93" s="108" t="s">
        <v>3039</v>
      </c>
      <c r="L93" s="106" t="s">
        <v>595</v>
      </c>
      <c r="M93" s="119" t="s">
        <v>1469</v>
      </c>
      <c r="N93" s="150">
        <v>1</v>
      </c>
      <c r="O93" s="151">
        <f t="shared" ref="O93" si="11">P93</f>
        <v>2990000</v>
      </c>
      <c r="P93" s="151">
        <v>2990000</v>
      </c>
      <c r="Q93" s="106" t="s">
        <v>505</v>
      </c>
      <c r="R93" s="106" t="s">
        <v>3041</v>
      </c>
      <c r="S93" s="108" t="s">
        <v>1179</v>
      </c>
      <c r="T93" s="106">
        <v>50</v>
      </c>
    </row>
    <row r="94" spans="1:20" s="152" customFormat="1" ht="51" customHeight="1">
      <c r="A94" s="149"/>
      <c r="B94" s="106">
        <v>2050</v>
      </c>
      <c r="C94" s="107" t="s">
        <v>714</v>
      </c>
      <c r="D94" s="155" t="s">
        <v>715</v>
      </c>
      <c r="E94" s="110" t="s">
        <v>3042</v>
      </c>
      <c r="F94" s="159" t="s">
        <v>3046</v>
      </c>
      <c r="G94" s="108" t="s">
        <v>3043</v>
      </c>
      <c r="H94" s="108" t="s">
        <v>3047</v>
      </c>
      <c r="I94" s="106" t="s">
        <v>3044</v>
      </c>
      <c r="J94" s="159" t="s">
        <v>3046</v>
      </c>
      <c r="K94" s="108" t="s">
        <v>3043</v>
      </c>
      <c r="L94" s="106" t="s">
        <v>595</v>
      </c>
      <c r="M94" s="119" t="s">
        <v>648</v>
      </c>
      <c r="N94" s="150">
        <v>7</v>
      </c>
      <c r="O94" s="151">
        <f t="shared" ref="O94:O101" si="12">P94/N94</f>
        <v>200</v>
      </c>
      <c r="P94" s="151">
        <v>1400</v>
      </c>
      <c r="Q94" s="106" t="s">
        <v>505</v>
      </c>
      <c r="R94" s="106" t="s">
        <v>3045</v>
      </c>
      <c r="S94" s="108">
        <v>431000000</v>
      </c>
      <c r="T94" s="106">
        <v>0</v>
      </c>
    </row>
    <row r="95" spans="1:20" s="152" customFormat="1" ht="51" customHeight="1">
      <c r="A95" s="149"/>
      <c r="B95" s="106">
        <v>2051</v>
      </c>
      <c r="C95" s="107" t="s">
        <v>714</v>
      </c>
      <c r="D95" s="155" t="s">
        <v>715</v>
      </c>
      <c r="E95" s="110" t="s">
        <v>3048</v>
      </c>
      <c r="F95" s="159" t="s">
        <v>3046</v>
      </c>
      <c r="G95" s="108" t="s">
        <v>3043</v>
      </c>
      <c r="H95" s="106" t="s">
        <v>3050</v>
      </c>
      <c r="I95" s="106" t="s">
        <v>3049</v>
      </c>
      <c r="J95" s="159" t="s">
        <v>3046</v>
      </c>
      <c r="K95" s="108" t="s">
        <v>3043</v>
      </c>
      <c r="L95" s="106" t="s">
        <v>595</v>
      </c>
      <c r="M95" s="119" t="s">
        <v>648</v>
      </c>
      <c r="N95" s="150">
        <v>1</v>
      </c>
      <c r="O95" s="151">
        <f t="shared" si="12"/>
        <v>2400</v>
      </c>
      <c r="P95" s="151">
        <v>2400</v>
      </c>
      <c r="Q95" s="106" t="s">
        <v>505</v>
      </c>
      <c r="R95" s="106" t="s">
        <v>3045</v>
      </c>
      <c r="S95" s="108">
        <v>431000000</v>
      </c>
      <c r="T95" s="106">
        <v>0</v>
      </c>
    </row>
    <row r="96" spans="1:20" s="152" customFormat="1" ht="51" customHeight="1">
      <c r="A96" s="149"/>
      <c r="B96" s="106">
        <v>2052</v>
      </c>
      <c r="C96" s="107" t="s">
        <v>714</v>
      </c>
      <c r="D96" s="155" t="s">
        <v>715</v>
      </c>
      <c r="E96" s="110" t="s">
        <v>3051</v>
      </c>
      <c r="F96" s="159" t="s">
        <v>3054</v>
      </c>
      <c r="G96" s="108" t="s">
        <v>3052</v>
      </c>
      <c r="H96" s="106" t="s">
        <v>3055</v>
      </c>
      <c r="I96" s="106" t="s">
        <v>3053</v>
      </c>
      <c r="J96" s="159" t="s">
        <v>3054</v>
      </c>
      <c r="K96" s="108" t="s">
        <v>3052</v>
      </c>
      <c r="L96" s="106" t="s">
        <v>595</v>
      </c>
      <c r="M96" s="119" t="s">
        <v>648</v>
      </c>
      <c r="N96" s="150">
        <v>12</v>
      </c>
      <c r="O96" s="151">
        <f t="shared" si="12"/>
        <v>500</v>
      </c>
      <c r="P96" s="151">
        <v>6000</v>
      </c>
      <c r="Q96" s="106" t="s">
        <v>505</v>
      </c>
      <c r="R96" s="106" t="s">
        <v>3045</v>
      </c>
      <c r="S96" s="108">
        <v>431000000</v>
      </c>
      <c r="T96" s="106">
        <v>0</v>
      </c>
    </row>
    <row r="97" spans="1:20" s="152" customFormat="1" ht="51" customHeight="1">
      <c r="A97" s="149"/>
      <c r="B97" s="106">
        <v>2053</v>
      </c>
      <c r="C97" s="107" t="s">
        <v>714</v>
      </c>
      <c r="D97" s="132" t="s">
        <v>2444</v>
      </c>
      <c r="E97" s="106" t="s">
        <v>3056</v>
      </c>
      <c r="F97" s="159" t="s">
        <v>3058</v>
      </c>
      <c r="G97" s="106" t="s">
        <v>3057</v>
      </c>
      <c r="H97" s="106" t="s">
        <v>3060</v>
      </c>
      <c r="I97" s="106" t="s">
        <v>3059</v>
      </c>
      <c r="J97" s="159" t="s">
        <v>3058</v>
      </c>
      <c r="K97" s="106" t="s">
        <v>3057</v>
      </c>
      <c r="L97" s="106" t="s">
        <v>595</v>
      </c>
      <c r="M97" s="119" t="s">
        <v>648</v>
      </c>
      <c r="N97" s="150">
        <v>16</v>
      </c>
      <c r="O97" s="151">
        <f t="shared" si="12"/>
        <v>6300</v>
      </c>
      <c r="P97" s="151">
        <v>100800</v>
      </c>
      <c r="Q97" s="106" t="s">
        <v>505</v>
      </c>
      <c r="R97" s="106" t="s">
        <v>3045</v>
      </c>
      <c r="S97" s="108">
        <v>431000000</v>
      </c>
      <c r="T97" s="106">
        <v>0</v>
      </c>
    </row>
    <row r="98" spans="1:20" s="152" customFormat="1" ht="51" customHeight="1">
      <c r="A98" s="149"/>
      <c r="B98" s="106">
        <v>2054</v>
      </c>
      <c r="C98" s="107" t="s">
        <v>714</v>
      </c>
      <c r="D98" s="132" t="s">
        <v>2444</v>
      </c>
      <c r="E98" s="106" t="s">
        <v>3061</v>
      </c>
      <c r="F98" s="159" t="s">
        <v>3064</v>
      </c>
      <c r="G98" s="106" t="s">
        <v>3062</v>
      </c>
      <c r="H98" s="106" t="s">
        <v>3060</v>
      </c>
      <c r="I98" s="106" t="s">
        <v>3063</v>
      </c>
      <c r="J98" s="159" t="s">
        <v>3064</v>
      </c>
      <c r="K98" s="106" t="s">
        <v>3062</v>
      </c>
      <c r="L98" s="106" t="s">
        <v>595</v>
      </c>
      <c r="M98" s="106" t="s">
        <v>633</v>
      </c>
      <c r="N98" s="150">
        <v>1</v>
      </c>
      <c r="O98" s="151">
        <f t="shared" si="12"/>
        <v>3000</v>
      </c>
      <c r="P98" s="151">
        <v>3000</v>
      </c>
      <c r="Q98" s="106" t="s">
        <v>505</v>
      </c>
      <c r="R98" s="106" t="s">
        <v>3045</v>
      </c>
      <c r="S98" s="108">
        <v>431000000</v>
      </c>
      <c r="T98" s="106">
        <v>0</v>
      </c>
    </row>
    <row r="99" spans="1:20" s="152" customFormat="1" ht="51" customHeight="1">
      <c r="A99" s="149"/>
      <c r="B99" s="106">
        <v>2055</v>
      </c>
      <c r="C99" s="107" t="s">
        <v>714</v>
      </c>
      <c r="D99" s="132" t="s">
        <v>2444</v>
      </c>
      <c r="E99" s="106" t="s">
        <v>3065</v>
      </c>
      <c r="F99" s="110" t="s">
        <v>3068</v>
      </c>
      <c r="G99" s="106" t="s">
        <v>3066</v>
      </c>
      <c r="H99" s="106" t="s">
        <v>3069</v>
      </c>
      <c r="I99" s="106" t="s">
        <v>3067</v>
      </c>
      <c r="J99" s="106" t="s">
        <v>3069</v>
      </c>
      <c r="K99" s="106" t="s">
        <v>3067</v>
      </c>
      <c r="L99" s="106" t="s">
        <v>595</v>
      </c>
      <c r="M99" s="106" t="s">
        <v>642</v>
      </c>
      <c r="N99" s="150">
        <v>1</v>
      </c>
      <c r="O99" s="151">
        <f t="shared" si="12"/>
        <v>10400</v>
      </c>
      <c r="P99" s="151">
        <v>10400</v>
      </c>
      <c r="Q99" s="106" t="s">
        <v>505</v>
      </c>
      <c r="R99" s="106" t="s">
        <v>3045</v>
      </c>
      <c r="S99" s="108">
        <v>431000000</v>
      </c>
      <c r="T99" s="106">
        <v>0</v>
      </c>
    </row>
    <row r="100" spans="1:20" s="152" customFormat="1" ht="51" customHeight="1">
      <c r="A100" s="149"/>
      <c r="B100" s="106">
        <v>2056</v>
      </c>
      <c r="C100" s="107" t="s">
        <v>714</v>
      </c>
      <c r="D100" s="132" t="s">
        <v>2444</v>
      </c>
      <c r="E100" s="106" t="s">
        <v>3070</v>
      </c>
      <c r="F100" s="106" t="s">
        <v>3071</v>
      </c>
      <c r="G100" s="106" t="s">
        <v>3071</v>
      </c>
      <c r="H100" s="106" t="s">
        <v>3073</v>
      </c>
      <c r="I100" s="106" t="s">
        <v>3072</v>
      </c>
      <c r="J100" s="106" t="s">
        <v>3071</v>
      </c>
      <c r="K100" s="106" t="s">
        <v>3071</v>
      </c>
      <c r="L100" s="106" t="s">
        <v>595</v>
      </c>
      <c r="M100" s="119" t="s">
        <v>648</v>
      </c>
      <c r="N100" s="150">
        <v>1</v>
      </c>
      <c r="O100" s="151">
        <f t="shared" si="12"/>
        <v>10500</v>
      </c>
      <c r="P100" s="151">
        <v>10500</v>
      </c>
      <c r="Q100" s="106" t="s">
        <v>505</v>
      </c>
      <c r="R100" s="106" t="s">
        <v>3045</v>
      </c>
      <c r="S100" s="108">
        <v>431000000</v>
      </c>
      <c r="T100" s="106">
        <v>0</v>
      </c>
    </row>
    <row r="101" spans="1:20" s="154" customFormat="1" ht="51">
      <c r="A101" s="116"/>
      <c r="B101" s="106">
        <v>2057</v>
      </c>
      <c r="C101" s="115" t="s">
        <v>714</v>
      </c>
      <c r="D101" s="106" t="s">
        <v>1469</v>
      </c>
      <c r="E101" s="106" t="s">
        <v>3074</v>
      </c>
      <c r="F101" s="106" t="s">
        <v>3077</v>
      </c>
      <c r="G101" s="109" t="s">
        <v>3075</v>
      </c>
      <c r="H101" s="106" t="s">
        <v>3078</v>
      </c>
      <c r="I101" s="109" t="s">
        <v>3076</v>
      </c>
      <c r="J101" s="106" t="s">
        <v>3078</v>
      </c>
      <c r="K101" s="109" t="s">
        <v>3076</v>
      </c>
      <c r="L101" s="109" t="s">
        <v>595</v>
      </c>
      <c r="M101" s="110" t="s">
        <v>1469</v>
      </c>
      <c r="N101" s="111">
        <v>1</v>
      </c>
      <c r="O101" s="112">
        <f t="shared" si="12"/>
        <v>220000</v>
      </c>
      <c r="P101" s="113">
        <v>220000</v>
      </c>
      <c r="Q101" s="108" t="s">
        <v>505</v>
      </c>
      <c r="R101" s="106" t="s">
        <v>3045</v>
      </c>
      <c r="S101" s="108">
        <v>431000000</v>
      </c>
      <c r="T101" s="106">
        <v>0</v>
      </c>
    </row>
    <row r="102" spans="1:20" s="114" customFormat="1" ht="51" outlineLevel="1">
      <c r="A102" s="116"/>
      <c r="B102" s="106">
        <v>2058</v>
      </c>
      <c r="C102" s="115" t="s">
        <v>714</v>
      </c>
      <c r="D102" s="106" t="s">
        <v>601</v>
      </c>
      <c r="E102" s="110" t="s">
        <v>1255</v>
      </c>
      <c r="F102" s="109" t="s">
        <v>1770</v>
      </c>
      <c r="G102" s="109" t="s">
        <v>1256</v>
      </c>
      <c r="H102" s="109" t="s">
        <v>1770</v>
      </c>
      <c r="I102" s="109" t="s">
        <v>1256</v>
      </c>
      <c r="J102" s="109" t="s">
        <v>3079</v>
      </c>
      <c r="K102" s="109" t="s">
        <v>3080</v>
      </c>
      <c r="L102" s="109" t="s">
        <v>595</v>
      </c>
      <c r="M102" s="110" t="s">
        <v>918</v>
      </c>
      <c r="N102" s="156">
        <v>1</v>
      </c>
      <c r="O102" s="112">
        <f>P102/N102</f>
        <v>100000</v>
      </c>
      <c r="P102" s="113">
        <v>100000</v>
      </c>
      <c r="Q102" s="157" t="s">
        <v>505</v>
      </c>
      <c r="R102" s="106" t="s">
        <v>770</v>
      </c>
      <c r="S102" s="108">
        <v>231000000</v>
      </c>
      <c r="T102" s="157">
        <v>0</v>
      </c>
    </row>
    <row r="103" spans="1:20" s="152" customFormat="1" ht="51">
      <c r="A103" s="149"/>
      <c r="B103" s="106">
        <v>2059</v>
      </c>
      <c r="C103" s="107" t="s">
        <v>714</v>
      </c>
      <c r="D103" s="132" t="s">
        <v>601</v>
      </c>
      <c r="E103" s="106" t="s">
        <v>3081</v>
      </c>
      <c r="F103" s="108" t="s">
        <v>3084</v>
      </c>
      <c r="G103" s="108" t="s">
        <v>3083</v>
      </c>
      <c r="H103" s="108" t="s">
        <v>3085</v>
      </c>
      <c r="I103" s="106" t="s">
        <v>3082</v>
      </c>
      <c r="J103" s="108" t="s">
        <v>3087</v>
      </c>
      <c r="K103" s="108" t="s">
        <v>3086</v>
      </c>
      <c r="L103" s="106" t="s">
        <v>595</v>
      </c>
      <c r="M103" s="110" t="s">
        <v>918</v>
      </c>
      <c r="N103" s="150">
        <v>1</v>
      </c>
      <c r="O103" s="112">
        <f>P103/N103</f>
        <v>430000</v>
      </c>
      <c r="P103" s="151">
        <v>430000</v>
      </c>
      <c r="Q103" s="106" t="s">
        <v>505</v>
      </c>
      <c r="R103" s="106" t="s">
        <v>2436</v>
      </c>
      <c r="S103" s="108">
        <v>231000000</v>
      </c>
      <c r="T103" s="106">
        <v>50</v>
      </c>
    </row>
    <row r="104" spans="1:20" s="114" customFormat="1" ht="63.75" outlineLevel="1">
      <c r="A104" s="116"/>
      <c r="B104" s="106">
        <v>2060</v>
      </c>
      <c r="C104" s="115" t="s">
        <v>714</v>
      </c>
      <c r="D104" s="106" t="s">
        <v>601</v>
      </c>
      <c r="E104" s="106" t="s">
        <v>861</v>
      </c>
      <c r="F104" s="109" t="s">
        <v>2277</v>
      </c>
      <c r="G104" s="109" t="s">
        <v>34</v>
      </c>
      <c r="H104" s="109" t="s">
        <v>862</v>
      </c>
      <c r="I104" s="109" t="s">
        <v>863</v>
      </c>
      <c r="J104" s="109" t="s">
        <v>3089</v>
      </c>
      <c r="K104" s="109" t="s">
        <v>3088</v>
      </c>
      <c r="L104" s="109" t="s">
        <v>595</v>
      </c>
      <c r="M104" s="110" t="s">
        <v>918</v>
      </c>
      <c r="N104" s="111">
        <v>1</v>
      </c>
      <c r="O104" s="112">
        <f>P104/N104</f>
        <v>150000</v>
      </c>
      <c r="P104" s="113">
        <v>150000</v>
      </c>
      <c r="Q104" s="106" t="s">
        <v>505</v>
      </c>
      <c r="R104" s="106" t="s">
        <v>770</v>
      </c>
      <c r="S104" s="108">
        <v>231000000</v>
      </c>
      <c r="T104" s="111">
        <v>0</v>
      </c>
    </row>
    <row r="105" spans="1:20" s="154" customFormat="1" ht="25.5">
      <c r="A105" s="116"/>
      <c r="B105" s="106">
        <v>2061</v>
      </c>
      <c r="C105" s="115" t="s">
        <v>714</v>
      </c>
      <c r="D105" s="106" t="s">
        <v>1469</v>
      </c>
      <c r="E105" s="106" t="s">
        <v>3095</v>
      </c>
      <c r="F105" s="106" t="s">
        <v>3077</v>
      </c>
      <c r="G105" s="109" t="s">
        <v>3075</v>
      </c>
      <c r="H105" s="106" t="s">
        <v>3077</v>
      </c>
      <c r="I105" s="109" t="s">
        <v>3075</v>
      </c>
      <c r="J105" s="106" t="s">
        <v>3097</v>
      </c>
      <c r="K105" s="109" t="s">
        <v>3096</v>
      </c>
      <c r="L105" s="109" t="s">
        <v>595</v>
      </c>
      <c r="M105" s="110" t="s">
        <v>1469</v>
      </c>
      <c r="N105" s="111">
        <v>1</v>
      </c>
      <c r="O105" s="112">
        <f t="shared" ref="O105" si="13">P105/N105</f>
        <v>155000</v>
      </c>
      <c r="P105" s="113">
        <v>155000</v>
      </c>
      <c r="Q105" s="108" t="s">
        <v>505</v>
      </c>
      <c r="R105" s="106" t="s">
        <v>1323</v>
      </c>
      <c r="S105" s="108">
        <v>551000000</v>
      </c>
      <c r="T105" s="106">
        <v>100</v>
      </c>
    </row>
    <row r="106" spans="1:20" s="152" customFormat="1" ht="51">
      <c r="A106" s="149"/>
      <c r="B106" s="106">
        <v>2062</v>
      </c>
      <c r="C106" s="107" t="s">
        <v>714</v>
      </c>
      <c r="D106" s="132" t="s">
        <v>601</v>
      </c>
      <c r="E106" s="106" t="s">
        <v>3090</v>
      </c>
      <c r="F106" s="108" t="s">
        <v>2633</v>
      </c>
      <c r="G106" s="108" t="s">
        <v>1309</v>
      </c>
      <c r="H106" s="119" t="s">
        <v>3093</v>
      </c>
      <c r="I106" s="108" t="s">
        <v>3094</v>
      </c>
      <c r="J106" s="106" t="s">
        <v>3091</v>
      </c>
      <c r="K106" s="106" t="s">
        <v>3092</v>
      </c>
      <c r="L106" s="106" t="s">
        <v>595</v>
      </c>
      <c r="M106" s="110" t="s">
        <v>918</v>
      </c>
      <c r="N106" s="150">
        <v>1</v>
      </c>
      <c r="O106" s="151">
        <f>P106/N106</f>
        <v>150000</v>
      </c>
      <c r="P106" s="151">
        <v>150000</v>
      </c>
      <c r="Q106" s="106" t="s">
        <v>505</v>
      </c>
      <c r="R106" s="106" t="s">
        <v>2503</v>
      </c>
      <c r="S106" s="108">
        <v>391000000</v>
      </c>
      <c r="T106" s="106">
        <v>30</v>
      </c>
    </row>
    <row r="107" spans="1:20" s="152" customFormat="1" ht="51" customHeight="1">
      <c r="A107" s="149"/>
      <c r="B107" s="106">
        <v>2063</v>
      </c>
      <c r="C107" s="107" t="s">
        <v>714</v>
      </c>
      <c r="D107" s="132" t="s">
        <v>2444</v>
      </c>
      <c r="E107" s="106" t="s">
        <v>3056</v>
      </c>
      <c r="F107" s="159" t="s">
        <v>3100</v>
      </c>
      <c r="G107" s="106" t="s">
        <v>3101</v>
      </c>
      <c r="H107" s="106" t="s">
        <v>3102</v>
      </c>
      <c r="I107" s="106" t="s">
        <v>3103</v>
      </c>
      <c r="J107" s="159" t="s">
        <v>3100</v>
      </c>
      <c r="K107" s="106" t="s">
        <v>3101</v>
      </c>
      <c r="L107" s="106" t="s">
        <v>595</v>
      </c>
      <c r="M107" s="119" t="s">
        <v>648</v>
      </c>
      <c r="N107" s="150">
        <v>18</v>
      </c>
      <c r="O107" s="151">
        <f>P107/N107</f>
        <v>9100</v>
      </c>
      <c r="P107" s="151">
        <v>163800</v>
      </c>
      <c r="Q107" s="106" t="s">
        <v>505</v>
      </c>
      <c r="R107" s="106" t="s">
        <v>505</v>
      </c>
      <c r="S107" s="108">
        <v>151000000</v>
      </c>
      <c r="T107" s="106">
        <v>30</v>
      </c>
    </row>
    <row r="108" spans="1:20" s="152" customFormat="1" ht="51" customHeight="1">
      <c r="A108" s="149"/>
      <c r="B108" s="106">
        <v>2064</v>
      </c>
      <c r="C108" s="107" t="s">
        <v>714</v>
      </c>
      <c r="D108" s="132" t="s">
        <v>2444</v>
      </c>
      <c r="E108" s="106" t="s">
        <v>3104</v>
      </c>
      <c r="F108" s="110" t="s">
        <v>3107</v>
      </c>
      <c r="G108" s="106" t="s">
        <v>3105</v>
      </c>
      <c r="H108" s="106" t="s">
        <v>3108</v>
      </c>
      <c r="I108" s="106" t="s">
        <v>3106</v>
      </c>
      <c r="J108" s="106" t="s">
        <v>3099</v>
      </c>
      <c r="K108" s="106" t="s">
        <v>3098</v>
      </c>
      <c r="L108" s="106" t="s">
        <v>595</v>
      </c>
      <c r="M108" s="119" t="s">
        <v>648</v>
      </c>
      <c r="N108" s="150">
        <v>18</v>
      </c>
      <c r="O108" s="151">
        <f>P108/N108</f>
        <v>6170</v>
      </c>
      <c r="P108" s="151">
        <v>111060</v>
      </c>
      <c r="Q108" s="106" t="s">
        <v>505</v>
      </c>
      <c r="R108" s="106" t="s">
        <v>505</v>
      </c>
      <c r="S108" s="108">
        <v>151000000</v>
      </c>
      <c r="T108" s="106">
        <v>30</v>
      </c>
    </row>
    <row r="109" spans="1:20" s="114" customFormat="1" ht="51" outlineLevel="1">
      <c r="A109" s="116"/>
      <c r="B109" s="106">
        <v>2065</v>
      </c>
      <c r="C109" s="115" t="s">
        <v>714</v>
      </c>
      <c r="D109" s="106" t="s">
        <v>601</v>
      </c>
      <c r="E109" s="106" t="s">
        <v>520</v>
      </c>
      <c r="F109" s="109" t="s">
        <v>521</v>
      </c>
      <c r="G109" s="109" t="s">
        <v>522</v>
      </c>
      <c r="H109" s="109" t="s">
        <v>521</v>
      </c>
      <c r="I109" s="109" t="s">
        <v>522</v>
      </c>
      <c r="J109" s="109" t="s">
        <v>3110</v>
      </c>
      <c r="K109" s="109" t="s">
        <v>3109</v>
      </c>
      <c r="L109" s="106" t="s">
        <v>595</v>
      </c>
      <c r="M109" s="110" t="s">
        <v>918</v>
      </c>
      <c r="N109" s="111">
        <v>1</v>
      </c>
      <c r="O109" s="112">
        <f>P109/N109</f>
        <v>600000</v>
      </c>
      <c r="P109" s="113">
        <v>600000</v>
      </c>
      <c r="Q109" s="106" t="s">
        <v>505</v>
      </c>
      <c r="R109" s="106" t="s">
        <v>770</v>
      </c>
      <c r="S109" s="108">
        <v>751710000</v>
      </c>
      <c r="T109" s="111">
        <v>100</v>
      </c>
    </row>
    <row r="110" spans="1:20" s="114" customFormat="1" ht="89.25">
      <c r="A110" s="116"/>
      <c r="B110" s="106">
        <v>2066</v>
      </c>
      <c r="C110" s="115" t="s">
        <v>714</v>
      </c>
      <c r="D110" s="108" t="s">
        <v>601</v>
      </c>
      <c r="E110" s="106" t="s">
        <v>1435</v>
      </c>
      <c r="F110" s="109" t="s">
        <v>1955</v>
      </c>
      <c r="G110" s="109" t="s">
        <v>1956</v>
      </c>
      <c r="H110" s="109" t="s">
        <v>1955</v>
      </c>
      <c r="I110" s="109" t="s">
        <v>1956</v>
      </c>
      <c r="J110" s="109" t="s">
        <v>3113</v>
      </c>
      <c r="K110" s="109" t="s">
        <v>3111</v>
      </c>
      <c r="L110" s="109" t="s">
        <v>595</v>
      </c>
      <c r="M110" s="110" t="s">
        <v>918</v>
      </c>
      <c r="N110" s="111">
        <v>1</v>
      </c>
      <c r="O110" s="112">
        <f>P110/N110</f>
        <v>1785714</v>
      </c>
      <c r="P110" s="113">
        <v>1785714</v>
      </c>
      <c r="Q110" s="106" t="s">
        <v>505</v>
      </c>
      <c r="R110" s="115" t="s">
        <v>3112</v>
      </c>
      <c r="S110" s="108" t="s">
        <v>1179</v>
      </c>
      <c r="T110" s="111">
        <v>50</v>
      </c>
    </row>
    <row r="111" spans="1:20" s="140" customFormat="1" ht="140.25">
      <c r="A111" s="139"/>
      <c r="B111" s="106">
        <v>2067</v>
      </c>
      <c r="C111" s="106" t="s">
        <v>714</v>
      </c>
      <c r="D111" s="137" t="s">
        <v>601</v>
      </c>
      <c r="E111" s="110" t="s">
        <v>2643</v>
      </c>
      <c r="F111" s="106" t="s">
        <v>521</v>
      </c>
      <c r="G111" s="120" t="s">
        <v>2644</v>
      </c>
      <c r="H111" s="106" t="s">
        <v>2664</v>
      </c>
      <c r="I111" s="120" t="s">
        <v>2645</v>
      </c>
      <c r="J111" s="109" t="s">
        <v>3115</v>
      </c>
      <c r="K111" s="106" t="s">
        <v>3114</v>
      </c>
      <c r="L111" s="106" t="s">
        <v>595</v>
      </c>
      <c r="M111" s="106" t="s">
        <v>918</v>
      </c>
      <c r="N111" s="106">
        <v>1</v>
      </c>
      <c r="O111" s="112">
        <f t="shared" ref="O111" si="14">P111/N111</f>
        <v>2714286</v>
      </c>
      <c r="P111" s="112">
        <v>2714286</v>
      </c>
      <c r="Q111" s="106" t="s">
        <v>505</v>
      </c>
      <c r="R111" s="115" t="s">
        <v>3112</v>
      </c>
      <c r="S111" s="108" t="s">
        <v>1179</v>
      </c>
      <c r="T111" s="111">
        <v>50</v>
      </c>
    </row>
    <row r="112" spans="1:20" s="114" customFormat="1" ht="89.25">
      <c r="A112" s="116"/>
      <c r="B112" s="106">
        <v>2068</v>
      </c>
      <c r="C112" s="115" t="s">
        <v>714</v>
      </c>
      <c r="D112" s="108" t="s">
        <v>601</v>
      </c>
      <c r="E112" s="106" t="s">
        <v>528</v>
      </c>
      <c r="F112" s="109" t="s">
        <v>1963</v>
      </c>
      <c r="G112" s="109" t="s">
        <v>529</v>
      </c>
      <c r="H112" s="109" t="s">
        <v>1964</v>
      </c>
      <c r="I112" s="109" t="s">
        <v>530</v>
      </c>
      <c r="J112" s="109" t="s">
        <v>3118</v>
      </c>
      <c r="K112" s="109" t="s">
        <v>3117</v>
      </c>
      <c r="L112" s="109" t="s">
        <v>595</v>
      </c>
      <c r="M112" s="110" t="s">
        <v>918</v>
      </c>
      <c r="N112" s="111">
        <v>1</v>
      </c>
      <c r="O112" s="112">
        <f>P112/N112</f>
        <v>2000000</v>
      </c>
      <c r="P112" s="113">
        <v>2000000</v>
      </c>
      <c r="Q112" s="119" t="s">
        <v>505</v>
      </c>
      <c r="R112" s="106" t="s">
        <v>3116</v>
      </c>
      <c r="S112" s="108" t="s">
        <v>1179</v>
      </c>
      <c r="T112" s="111">
        <v>50</v>
      </c>
    </row>
    <row r="113" spans="1:20" s="114" customFormat="1" ht="89.25">
      <c r="A113" s="116"/>
      <c r="B113" s="106">
        <v>2069</v>
      </c>
      <c r="C113" s="115" t="s">
        <v>714</v>
      </c>
      <c r="D113" s="108" t="s">
        <v>601</v>
      </c>
      <c r="E113" s="106" t="s">
        <v>528</v>
      </c>
      <c r="F113" s="109" t="s">
        <v>1963</v>
      </c>
      <c r="G113" s="109" t="s">
        <v>529</v>
      </c>
      <c r="H113" s="109" t="s">
        <v>1964</v>
      </c>
      <c r="I113" s="109" t="s">
        <v>530</v>
      </c>
      <c r="J113" s="109" t="s">
        <v>3118</v>
      </c>
      <c r="K113" s="109" t="s">
        <v>3117</v>
      </c>
      <c r="L113" s="109" t="s">
        <v>595</v>
      </c>
      <c r="M113" s="110" t="s">
        <v>918</v>
      </c>
      <c r="N113" s="111">
        <v>1</v>
      </c>
      <c r="O113" s="112">
        <f>P113/N113</f>
        <v>2000000</v>
      </c>
      <c r="P113" s="113">
        <v>2000000</v>
      </c>
      <c r="Q113" s="119" t="s">
        <v>505</v>
      </c>
      <c r="R113" s="106" t="s">
        <v>3116</v>
      </c>
      <c r="S113" s="108">
        <v>751710000</v>
      </c>
      <c r="T113" s="111">
        <v>50</v>
      </c>
    </row>
    <row r="114" spans="1:20">
      <c r="Q114" s="28"/>
    </row>
    <row r="115" spans="1:20">
      <c r="C115" s="1" t="s">
        <v>2362</v>
      </c>
    </row>
    <row r="117" spans="1:20">
      <c r="P117" s="28"/>
    </row>
  </sheetData>
  <autoFilter ref="L1:S121"/>
  <mergeCells count="6">
    <mergeCell ref="B6:D6"/>
    <mergeCell ref="E6:F6"/>
    <mergeCell ref="B7:D7"/>
    <mergeCell ref="E7:F7"/>
    <mergeCell ref="B8:D8"/>
    <mergeCell ref="E8:F8"/>
  </mergeCells>
  <dataValidations count="1">
    <dataValidation allowBlank="1" showInputMessage="1" showErrorMessage="1" prompt="Введите краткую хар-ку на рус.языке" sqref="F111"/>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3:Y19"/>
  <sheetViews>
    <sheetView zoomScale="80" zoomScaleNormal="80" workbookViewId="0">
      <selection activeCell="D11" sqref="D11"/>
    </sheetView>
  </sheetViews>
  <sheetFormatPr defaultRowHeight="12.75"/>
  <cols>
    <col min="1" max="1" width="0.7109375" customWidth="1"/>
    <col min="2" max="2" width="6.42578125" customWidth="1"/>
    <col min="3" max="3" width="5.85546875" customWidth="1"/>
    <col min="4" max="4" width="7.85546875" customWidth="1"/>
    <col min="8" max="8" width="21.7109375" customWidth="1"/>
    <col min="9" max="9" width="19.7109375" customWidth="1"/>
    <col min="12" max="13" width="8.42578125" customWidth="1"/>
    <col min="14" max="14" width="7.5703125" customWidth="1"/>
    <col min="15" max="15" width="14.85546875" customWidth="1"/>
    <col min="16" max="16" width="14.28515625" customWidth="1"/>
    <col min="18" max="18" width="13.28515625" customWidth="1"/>
    <col min="19" max="19" width="8.42578125" customWidth="1"/>
    <col min="23" max="23" width="19.7109375" customWidth="1"/>
  </cols>
  <sheetData>
    <row r="3" spans="1:25" ht="13.5" thickBot="1"/>
    <row r="4" spans="1:25" s="61" customFormat="1" ht="93.75" customHeight="1" thickBot="1">
      <c r="B4" s="18" t="s">
        <v>350</v>
      </c>
      <c r="C4" s="18" t="s">
        <v>351</v>
      </c>
      <c r="D4" s="18" t="s">
        <v>352</v>
      </c>
      <c r="E4" s="18" t="s">
        <v>353</v>
      </c>
      <c r="F4" s="18" t="s">
        <v>354</v>
      </c>
      <c r="G4" s="18" t="s">
        <v>355</v>
      </c>
      <c r="H4" s="18" t="s">
        <v>356</v>
      </c>
      <c r="I4" s="18" t="s">
        <v>357</v>
      </c>
      <c r="J4" s="18" t="s">
        <v>358</v>
      </c>
      <c r="K4" s="18" t="s">
        <v>359</v>
      </c>
      <c r="L4" s="18" t="s">
        <v>0</v>
      </c>
      <c r="M4" s="18" t="s">
        <v>360</v>
      </c>
      <c r="N4" s="19" t="s">
        <v>361</v>
      </c>
      <c r="O4" s="18" t="s">
        <v>362</v>
      </c>
      <c r="P4" s="19" t="s">
        <v>363</v>
      </c>
      <c r="Q4" s="18" t="s">
        <v>364</v>
      </c>
      <c r="R4" s="18" t="s">
        <v>365</v>
      </c>
      <c r="S4" s="18" t="s">
        <v>366</v>
      </c>
      <c r="T4" s="18" t="s">
        <v>367</v>
      </c>
    </row>
    <row r="5" spans="1:25" s="31" customFormat="1" ht="13.5" thickBot="1">
      <c r="B5" s="22">
        <v>1</v>
      </c>
      <c r="C5" s="23">
        <v>2</v>
      </c>
      <c r="D5" s="23">
        <v>3</v>
      </c>
      <c r="E5" s="23">
        <v>4</v>
      </c>
      <c r="F5" s="23">
        <v>5</v>
      </c>
      <c r="G5" s="23">
        <v>6</v>
      </c>
      <c r="H5" s="23">
        <v>7</v>
      </c>
      <c r="I5" s="23">
        <v>8</v>
      </c>
      <c r="J5" s="23">
        <v>9</v>
      </c>
      <c r="K5" s="23">
        <v>10</v>
      </c>
      <c r="L5" s="23">
        <v>11</v>
      </c>
      <c r="M5" s="23">
        <v>12</v>
      </c>
      <c r="N5" s="23">
        <v>13</v>
      </c>
      <c r="O5" s="23">
        <v>14</v>
      </c>
      <c r="P5" s="23">
        <v>15</v>
      </c>
      <c r="Q5" s="23">
        <v>16</v>
      </c>
      <c r="R5" s="23">
        <v>17</v>
      </c>
      <c r="S5" s="23">
        <v>18</v>
      </c>
      <c r="T5" s="24">
        <v>19</v>
      </c>
      <c r="Y5" s="61"/>
    </row>
    <row r="6" spans="1:25" s="14" customFormat="1" ht="103.5" customHeight="1">
      <c r="A6" s="2"/>
      <c r="B6" s="6">
        <v>36</v>
      </c>
      <c r="C6" s="36" t="s">
        <v>714</v>
      </c>
      <c r="D6" s="37" t="s">
        <v>715</v>
      </c>
      <c r="E6" s="6" t="s">
        <v>980</v>
      </c>
      <c r="F6" s="70" t="s">
        <v>734</v>
      </c>
      <c r="G6" s="70" t="s">
        <v>735</v>
      </c>
      <c r="H6" s="70" t="s">
        <v>981</v>
      </c>
      <c r="I6" s="70" t="s">
        <v>982</v>
      </c>
      <c r="J6" s="70" t="s">
        <v>2117</v>
      </c>
      <c r="K6" s="70" t="s">
        <v>342</v>
      </c>
      <c r="L6" s="70" t="s">
        <v>595</v>
      </c>
      <c r="M6" s="38" t="s">
        <v>648</v>
      </c>
      <c r="N6" s="26">
        <v>3</v>
      </c>
      <c r="O6" s="57">
        <v>39571</v>
      </c>
      <c r="P6" s="62">
        <f t="shared" ref="P6" si="0">N6*O6</f>
        <v>118713</v>
      </c>
      <c r="Q6" s="6" t="s">
        <v>616</v>
      </c>
      <c r="R6" s="6" t="s">
        <v>770</v>
      </c>
      <c r="S6" s="38" t="s">
        <v>2031</v>
      </c>
      <c r="T6" s="26">
        <v>50</v>
      </c>
    </row>
    <row r="7" spans="1:25" s="14" customFormat="1" ht="105.75" customHeight="1">
      <c r="A7" s="17"/>
      <c r="B7" s="6">
        <v>37</v>
      </c>
      <c r="C7" s="36" t="s">
        <v>714</v>
      </c>
      <c r="D7" s="37" t="s">
        <v>715</v>
      </c>
      <c r="E7" s="11" t="s">
        <v>752</v>
      </c>
      <c r="F7" s="70" t="s">
        <v>983</v>
      </c>
      <c r="G7" s="70" t="s">
        <v>983</v>
      </c>
      <c r="H7" s="70" t="s">
        <v>2169</v>
      </c>
      <c r="I7" s="70" t="s">
        <v>755</v>
      </c>
      <c r="J7" s="70" t="s">
        <v>2118</v>
      </c>
      <c r="K7" s="70" t="s">
        <v>146</v>
      </c>
      <c r="L7" s="70" t="s">
        <v>595</v>
      </c>
      <c r="M7" s="38" t="s">
        <v>648</v>
      </c>
      <c r="N7" s="26">
        <v>5</v>
      </c>
      <c r="O7" s="57">
        <v>11286</v>
      </c>
      <c r="P7" s="62">
        <f t="shared" ref="P7:P16" si="1">N7*O7</f>
        <v>56430</v>
      </c>
      <c r="Q7" s="6" t="s">
        <v>616</v>
      </c>
      <c r="R7" s="6" t="s">
        <v>1055</v>
      </c>
      <c r="S7" s="38" t="s">
        <v>2031</v>
      </c>
      <c r="T7" s="26">
        <v>50</v>
      </c>
    </row>
    <row r="8" spans="1:25" s="14" customFormat="1" ht="88.5" customHeight="1">
      <c r="A8" s="17"/>
      <c r="B8" s="6">
        <v>39</v>
      </c>
      <c r="C8" s="16" t="s">
        <v>714</v>
      </c>
      <c r="D8" s="37" t="s">
        <v>715</v>
      </c>
      <c r="E8" s="16" t="s">
        <v>727</v>
      </c>
      <c r="F8" s="70" t="s">
        <v>878</v>
      </c>
      <c r="G8" s="70" t="s">
        <v>878</v>
      </c>
      <c r="H8" s="70" t="s">
        <v>879</v>
      </c>
      <c r="I8" s="70" t="s">
        <v>880</v>
      </c>
      <c r="J8" s="70" t="s">
        <v>2093</v>
      </c>
      <c r="K8" s="70" t="s">
        <v>343</v>
      </c>
      <c r="L8" s="70" t="s">
        <v>595</v>
      </c>
      <c r="M8" s="38" t="s">
        <v>648</v>
      </c>
      <c r="N8" s="26">
        <v>2</v>
      </c>
      <c r="O8" s="57">
        <v>34857</v>
      </c>
      <c r="P8" s="62">
        <f t="shared" si="1"/>
        <v>69714</v>
      </c>
      <c r="Q8" s="6" t="s">
        <v>616</v>
      </c>
      <c r="R8" s="6" t="s">
        <v>1055</v>
      </c>
      <c r="S8" s="38" t="s">
        <v>2031</v>
      </c>
      <c r="T8" s="26">
        <v>50</v>
      </c>
    </row>
    <row r="9" spans="1:25" s="14" customFormat="1" ht="111" customHeight="1">
      <c r="A9" s="17"/>
      <c r="B9" s="6">
        <v>40</v>
      </c>
      <c r="C9" s="16" t="s">
        <v>714</v>
      </c>
      <c r="D9" s="37" t="s">
        <v>715</v>
      </c>
      <c r="E9" s="16" t="s">
        <v>720</v>
      </c>
      <c r="F9" s="70" t="s">
        <v>878</v>
      </c>
      <c r="G9" s="70" t="s">
        <v>878</v>
      </c>
      <c r="H9" s="70" t="s">
        <v>881</v>
      </c>
      <c r="I9" s="70" t="s">
        <v>722</v>
      </c>
      <c r="J9" s="70" t="s">
        <v>2094</v>
      </c>
      <c r="K9" s="70" t="s">
        <v>344</v>
      </c>
      <c r="L9" s="70" t="s">
        <v>595</v>
      </c>
      <c r="M9" s="38" t="s">
        <v>648</v>
      </c>
      <c r="N9" s="26">
        <v>5</v>
      </c>
      <c r="O9" s="57">
        <v>39857</v>
      </c>
      <c r="P9" s="62">
        <f t="shared" si="1"/>
        <v>199285</v>
      </c>
      <c r="Q9" s="6" t="s">
        <v>616</v>
      </c>
      <c r="R9" s="6" t="s">
        <v>1055</v>
      </c>
      <c r="S9" s="38" t="s">
        <v>2031</v>
      </c>
      <c r="T9" s="26">
        <v>50</v>
      </c>
    </row>
    <row r="10" spans="1:25" s="14" customFormat="1" ht="63.75">
      <c r="A10" s="17"/>
      <c r="B10" s="6">
        <v>41</v>
      </c>
      <c r="C10" s="16" t="s">
        <v>714</v>
      </c>
      <c r="D10" s="37" t="s">
        <v>715</v>
      </c>
      <c r="E10" s="6" t="s">
        <v>984</v>
      </c>
      <c r="F10" s="70" t="s">
        <v>734</v>
      </c>
      <c r="G10" s="70" t="s">
        <v>172</v>
      </c>
      <c r="H10" s="70" t="s">
        <v>985</v>
      </c>
      <c r="I10" s="70" t="s">
        <v>986</v>
      </c>
      <c r="J10" s="70" t="s">
        <v>985</v>
      </c>
      <c r="K10" s="70" t="s">
        <v>345</v>
      </c>
      <c r="L10" s="70" t="s">
        <v>595</v>
      </c>
      <c r="M10" s="38" t="s">
        <v>648</v>
      </c>
      <c r="N10" s="26">
        <v>1</v>
      </c>
      <c r="O10" s="57">
        <v>73714</v>
      </c>
      <c r="P10" s="62">
        <f t="shared" si="1"/>
        <v>73714</v>
      </c>
      <c r="Q10" s="6" t="s">
        <v>616</v>
      </c>
      <c r="R10" s="6" t="s">
        <v>1055</v>
      </c>
      <c r="S10" s="38" t="s">
        <v>2031</v>
      </c>
      <c r="T10" s="26">
        <v>50</v>
      </c>
    </row>
    <row r="11" spans="1:25" s="14" customFormat="1" ht="117.75" customHeight="1">
      <c r="A11" s="17"/>
      <c r="B11" s="6">
        <v>44</v>
      </c>
      <c r="C11" s="36" t="s">
        <v>714</v>
      </c>
      <c r="D11" s="37" t="s">
        <v>715</v>
      </c>
      <c r="E11" s="12" t="s">
        <v>999</v>
      </c>
      <c r="F11" s="70" t="s">
        <v>734</v>
      </c>
      <c r="G11" s="70" t="s">
        <v>735</v>
      </c>
      <c r="H11" s="70" t="s">
        <v>1000</v>
      </c>
      <c r="I11" s="70" t="s">
        <v>1001</v>
      </c>
      <c r="J11" s="70" t="s">
        <v>2120</v>
      </c>
      <c r="K11" s="70" t="s">
        <v>346</v>
      </c>
      <c r="L11" s="70" t="s">
        <v>595</v>
      </c>
      <c r="M11" s="38" t="s">
        <v>648</v>
      </c>
      <c r="N11" s="26">
        <v>3</v>
      </c>
      <c r="O11" s="57">
        <v>19571</v>
      </c>
      <c r="P11" s="62">
        <f t="shared" si="1"/>
        <v>58713</v>
      </c>
      <c r="Q11" s="6" t="s">
        <v>616</v>
      </c>
      <c r="R11" s="6" t="s">
        <v>770</v>
      </c>
      <c r="S11" s="38" t="s">
        <v>2031</v>
      </c>
      <c r="T11" s="26">
        <v>50</v>
      </c>
    </row>
    <row r="12" spans="1:25" s="14" customFormat="1" ht="102">
      <c r="A12" s="17"/>
      <c r="B12" s="6">
        <v>45</v>
      </c>
      <c r="C12" s="16" t="s">
        <v>714</v>
      </c>
      <c r="D12" s="37" t="s">
        <v>715</v>
      </c>
      <c r="E12" s="12" t="s">
        <v>949</v>
      </c>
      <c r="F12" s="70" t="s">
        <v>1534</v>
      </c>
      <c r="G12" s="70" t="s">
        <v>1534</v>
      </c>
      <c r="H12" s="70" t="s">
        <v>992</v>
      </c>
      <c r="I12" s="70" t="s">
        <v>950</v>
      </c>
      <c r="J12" s="70" t="s">
        <v>2121</v>
      </c>
      <c r="K12" s="70" t="s">
        <v>347</v>
      </c>
      <c r="L12" s="70" t="s">
        <v>595</v>
      </c>
      <c r="M12" s="38" t="s">
        <v>648</v>
      </c>
      <c r="N12" s="26">
        <v>3</v>
      </c>
      <c r="O12" s="57">
        <v>18143</v>
      </c>
      <c r="P12" s="62">
        <f t="shared" si="1"/>
        <v>54429</v>
      </c>
      <c r="Q12" s="6" t="s">
        <v>616</v>
      </c>
      <c r="R12" s="6" t="s">
        <v>1055</v>
      </c>
      <c r="S12" s="38" t="s">
        <v>2031</v>
      </c>
      <c r="T12" s="26">
        <v>50</v>
      </c>
    </row>
    <row r="13" spans="1:25" s="14" customFormat="1" ht="102">
      <c r="A13" s="17"/>
      <c r="B13" s="6">
        <v>46</v>
      </c>
      <c r="C13" s="36" t="s">
        <v>714</v>
      </c>
      <c r="D13" s="37" t="s">
        <v>715</v>
      </c>
      <c r="E13" s="12" t="s">
        <v>993</v>
      </c>
      <c r="F13" s="70" t="s">
        <v>753</v>
      </c>
      <c r="G13" s="70" t="s">
        <v>753</v>
      </c>
      <c r="H13" s="70" t="s">
        <v>994</v>
      </c>
      <c r="I13" s="70" t="s">
        <v>995</v>
      </c>
      <c r="J13" s="70" t="s">
        <v>2123</v>
      </c>
      <c r="K13" s="70" t="s">
        <v>2122</v>
      </c>
      <c r="L13" s="70" t="s">
        <v>595</v>
      </c>
      <c r="M13" s="38" t="s">
        <v>648</v>
      </c>
      <c r="N13" s="26">
        <v>1</v>
      </c>
      <c r="O13" s="57">
        <v>53143</v>
      </c>
      <c r="P13" s="62">
        <f t="shared" si="1"/>
        <v>53143</v>
      </c>
      <c r="Q13" s="6" t="s">
        <v>616</v>
      </c>
      <c r="R13" s="6" t="s">
        <v>1055</v>
      </c>
      <c r="S13" s="38" t="s">
        <v>2031</v>
      </c>
      <c r="T13" s="26">
        <v>50</v>
      </c>
    </row>
    <row r="14" spans="1:25" s="14" customFormat="1" ht="140.25">
      <c r="A14" s="17"/>
      <c r="B14" s="6">
        <v>48</v>
      </c>
      <c r="C14" s="36" t="s">
        <v>714</v>
      </c>
      <c r="D14" s="37" t="s">
        <v>715</v>
      </c>
      <c r="E14" s="12" t="s">
        <v>999</v>
      </c>
      <c r="F14" s="70" t="s">
        <v>734</v>
      </c>
      <c r="G14" s="70" t="s">
        <v>735</v>
      </c>
      <c r="H14" s="70" t="s">
        <v>1000</v>
      </c>
      <c r="I14" s="70" t="s">
        <v>1001</v>
      </c>
      <c r="J14" s="70" t="s">
        <v>2120</v>
      </c>
      <c r="K14" s="70" t="s">
        <v>348</v>
      </c>
      <c r="L14" s="70" t="s">
        <v>595</v>
      </c>
      <c r="M14" s="38" t="s">
        <v>648</v>
      </c>
      <c r="N14" s="26">
        <v>2</v>
      </c>
      <c r="O14" s="57">
        <v>19571</v>
      </c>
      <c r="P14" s="62">
        <f t="shared" si="1"/>
        <v>39142</v>
      </c>
      <c r="Q14" s="6" t="s">
        <v>616</v>
      </c>
      <c r="R14" s="6" t="s">
        <v>770</v>
      </c>
      <c r="S14" s="38" t="s">
        <v>2031</v>
      </c>
      <c r="T14" s="26">
        <v>50</v>
      </c>
    </row>
    <row r="15" spans="1:25" s="14" customFormat="1" ht="98.25" customHeight="1">
      <c r="A15" s="17"/>
      <c r="B15" s="6">
        <v>49</v>
      </c>
      <c r="C15" s="36" t="s">
        <v>714</v>
      </c>
      <c r="D15" s="37" t="s">
        <v>715</v>
      </c>
      <c r="E15" s="11" t="s">
        <v>752</v>
      </c>
      <c r="F15" s="70" t="s">
        <v>983</v>
      </c>
      <c r="G15" s="70" t="s">
        <v>983</v>
      </c>
      <c r="H15" s="70" t="s">
        <v>754</v>
      </c>
      <c r="I15" s="70" t="s">
        <v>755</v>
      </c>
      <c r="J15" s="70" t="s">
        <v>2126</v>
      </c>
      <c r="K15" s="70" t="s">
        <v>2127</v>
      </c>
      <c r="L15" s="70" t="s">
        <v>595</v>
      </c>
      <c r="M15" s="38" t="s">
        <v>648</v>
      </c>
      <c r="N15" s="26">
        <v>1</v>
      </c>
      <c r="O15" s="57">
        <v>60286</v>
      </c>
      <c r="P15" s="62">
        <f t="shared" si="1"/>
        <v>60286</v>
      </c>
      <c r="Q15" s="6" t="s">
        <v>616</v>
      </c>
      <c r="R15" s="6" t="s">
        <v>1055</v>
      </c>
      <c r="S15" s="38" t="s">
        <v>2031</v>
      </c>
      <c r="T15" s="26">
        <v>50</v>
      </c>
    </row>
    <row r="16" spans="1:25" s="14" customFormat="1" ht="108" customHeight="1">
      <c r="A16" s="17"/>
      <c r="B16" s="6">
        <v>1339</v>
      </c>
      <c r="C16" s="16" t="s">
        <v>714</v>
      </c>
      <c r="D16" s="6" t="s">
        <v>601</v>
      </c>
      <c r="E16" s="12" t="s">
        <v>570</v>
      </c>
      <c r="F16" s="70" t="s">
        <v>2061</v>
      </c>
      <c r="G16" s="70" t="s">
        <v>572</v>
      </c>
      <c r="H16" s="70" t="s">
        <v>2062</v>
      </c>
      <c r="I16" s="70" t="s">
        <v>709</v>
      </c>
      <c r="J16" s="70" t="s">
        <v>2063</v>
      </c>
      <c r="K16" s="70" t="s">
        <v>103</v>
      </c>
      <c r="L16" s="70" t="s">
        <v>595</v>
      </c>
      <c r="M16" s="12" t="s">
        <v>918</v>
      </c>
      <c r="N16" s="26">
        <v>1</v>
      </c>
      <c r="O16" s="57">
        <v>64286</v>
      </c>
      <c r="P16" s="62">
        <f t="shared" si="1"/>
        <v>64286</v>
      </c>
      <c r="Q16" s="6" t="s">
        <v>703</v>
      </c>
      <c r="R16" s="6" t="s">
        <v>770</v>
      </c>
      <c r="S16" s="38" t="s">
        <v>2031</v>
      </c>
      <c r="T16" s="26">
        <v>100</v>
      </c>
    </row>
    <row r="17" spans="23:23">
      <c r="W17" s="121"/>
    </row>
    <row r="19" spans="23:23">
      <c r="W19" s="122"/>
    </row>
  </sheetData>
  <pageMargins left="0.33" right="0.22" top="0.28999999999999998" bottom="0.74803149606299213" header="0.31496062992125984" footer="0.31496062992125984"/>
  <pageSetup paperSize="9" scale="7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ГПЗ 2014 общий</vt:lpstr>
      <vt:lpstr>Приложение № 1</vt:lpstr>
      <vt:lpstr>Лист1 </vt:lpstr>
      <vt:lpstr>'ГПЗ 2014 общий'!Область_печати</vt:lpstr>
      <vt:lpstr>'Приложение № 1'!Область_печати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2014-04-30T10:17:28Z</cp:lastPrinted>
  <dcterms:created xsi:type="dcterms:W3CDTF">2012-11-20T12:21:33Z</dcterms:created>
  <dcterms:modified xsi:type="dcterms:W3CDTF">2014-05-27T11:47:25Z</dcterms:modified>
</cp:coreProperties>
</file>